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Projects\"/>
    </mc:Choice>
  </mc:AlternateContent>
  <bookViews>
    <workbookView xWindow="0" yWindow="0" windowWidth="20490" windowHeight="7020"/>
  </bookViews>
  <sheets>
    <sheet name="Quadrant" sheetId="4" r:id="rId1"/>
    <sheet name="Detail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4" i="1" s="1"/>
  <c r="A42" i="1"/>
  <c r="O43" i="1" s="1"/>
  <c r="O44" i="1" s="1"/>
  <c r="C13" i="1"/>
  <c r="D43" i="1" l="1"/>
  <c r="D44" i="1" s="1"/>
  <c r="I43" i="1"/>
  <c r="I44" i="1" s="1"/>
  <c r="V43" i="1"/>
  <c r="V44" i="1" s="1"/>
  <c r="S43" i="1"/>
  <c r="S44" i="1" s="1"/>
  <c r="Q43" i="1"/>
  <c r="Q44" i="1" s="1"/>
  <c r="F43" i="1"/>
  <c r="F44" i="1" s="1"/>
  <c r="H43" i="1"/>
  <c r="H44" i="1" s="1"/>
  <c r="W43" i="1"/>
  <c r="W44" i="1" s="1"/>
  <c r="R43" i="1"/>
  <c r="R44" i="1" s="1"/>
  <c r="D70" i="1" s="1"/>
  <c r="P43" i="1"/>
  <c r="P44" i="1" s="1"/>
  <c r="G43" i="1"/>
  <c r="G44" i="1" s="1"/>
  <c r="K43" i="1"/>
  <c r="K44" i="1" s="1"/>
  <c r="U43" i="1"/>
  <c r="U44" i="1" s="1"/>
  <c r="L43" i="1"/>
  <c r="L44" i="1" s="1"/>
  <c r="J43" i="1"/>
  <c r="J44" i="1" s="1"/>
  <c r="C43" i="1"/>
  <c r="C44" i="1" s="1"/>
  <c r="M43" i="1"/>
  <c r="M44" i="1" s="1"/>
  <c r="N43" i="1"/>
  <c r="N44" i="1" s="1"/>
  <c r="T43" i="1"/>
  <c r="T44" i="1" s="1"/>
  <c r="D9" i="1"/>
  <c r="D13" i="1" s="1"/>
  <c r="D8" i="1"/>
  <c r="E53" i="1" s="1"/>
  <c r="D7" i="1"/>
  <c r="D73" i="1"/>
  <c r="D64" i="1"/>
  <c r="J9" i="1"/>
  <c r="J13" i="1" s="1"/>
  <c r="J8" i="1"/>
  <c r="J12" i="1" s="1"/>
  <c r="J7" i="1"/>
  <c r="J11" i="1" s="1"/>
  <c r="J6" i="1"/>
  <c r="D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O9" i="1"/>
  <c r="O13" i="1" s="1"/>
  <c r="O8" i="1"/>
  <c r="O12" i="1" s="1"/>
  <c r="O7" i="1"/>
  <c r="O11" i="1" s="1"/>
  <c r="O6" i="1"/>
  <c r="R9" i="1"/>
  <c r="R13" i="1" s="1"/>
  <c r="R8" i="1"/>
  <c r="E70" i="1" s="1"/>
  <c r="R7" i="1"/>
  <c r="R12" i="1" s="1"/>
  <c r="R6" i="1"/>
  <c r="R11" i="1" s="1"/>
  <c r="C12" i="1"/>
  <c r="C11" i="1"/>
  <c r="E64" i="1" l="1"/>
  <c r="E73" i="1"/>
  <c r="J46" i="1"/>
  <c r="O46" i="1"/>
  <c r="R46" i="1"/>
  <c r="U9" i="1"/>
  <c r="U13" i="1" s="1"/>
  <c r="U8" i="1"/>
  <c r="U7" i="1"/>
  <c r="U11" i="1" s="1"/>
  <c r="U6" i="1"/>
  <c r="D72" i="1"/>
  <c r="D71" i="1"/>
  <c r="V9" i="1"/>
  <c r="V13" i="1" s="1"/>
  <c r="W9" i="1"/>
  <c r="W13" i="1" s="1"/>
  <c r="V8" i="1"/>
  <c r="W8" i="1"/>
  <c r="V7" i="1"/>
  <c r="V11" i="1" s="1"/>
  <c r="W7" i="1"/>
  <c r="W11" i="1" s="1"/>
  <c r="V6" i="1"/>
  <c r="W6" i="1"/>
  <c r="M9" i="1"/>
  <c r="M13" i="1" s="1"/>
  <c r="M8" i="1"/>
  <c r="M7" i="1"/>
  <c r="M11" i="1" s="1"/>
  <c r="M6" i="1"/>
  <c r="P9" i="1"/>
  <c r="P13" i="1" s="1"/>
  <c r="P8" i="1"/>
  <c r="P7" i="1"/>
  <c r="P11" i="1" s="1"/>
  <c r="P6" i="1"/>
  <c r="Q9" i="1"/>
  <c r="Q13" i="1" s="1"/>
  <c r="Q8" i="1"/>
  <c r="Q7" i="1"/>
  <c r="Q11" i="1" s="1"/>
  <c r="Q6" i="1"/>
  <c r="D60" i="1"/>
  <c r="L6" i="1"/>
  <c r="L7" i="1"/>
  <c r="L11" i="1" s="1"/>
  <c r="N8" i="1"/>
  <c r="N9" i="1"/>
  <c r="N13" i="1" s="1"/>
  <c r="N7" i="1"/>
  <c r="N11" i="1" s="1"/>
  <c r="N6" i="1"/>
  <c r="D12" i="1"/>
  <c r="D11" i="1"/>
  <c r="H9" i="1"/>
  <c r="H13" i="1" s="1"/>
  <c r="H8" i="1"/>
  <c r="H7" i="1"/>
  <c r="H11" i="1" s="1"/>
  <c r="H6" i="1"/>
  <c r="D63" i="1"/>
  <c r="D62" i="1"/>
  <c r="D69" i="1"/>
  <c r="D59" i="1"/>
  <c r="D53" i="1"/>
  <c r="D58" i="1"/>
  <c r="D68" i="1"/>
  <c r="D57" i="1"/>
  <c r="D67" i="1"/>
  <c r="D66" i="1"/>
  <c r="D61" i="1"/>
  <c r="D65" i="1"/>
  <c r="D54" i="1"/>
  <c r="D55" i="1"/>
  <c r="D56" i="1"/>
  <c r="N12" i="1" l="1"/>
  <c r="E59" i="1"/>
  <c r="W12" i="1"/>
  <c r="E71" i="1"/>
  <c r="U12" i="1"/>
  <c r="E68" i="1"/>
  <c r="H12" i="1"/>
  <c r="E60" i="1"/>
  <c r="V12" i="1"/>
  <c r="E72" i="1"/>
  <c r="Q12" i="1"/>
  <c r="E69" i="1"/>
  <c r="P12" i="1"/>
  <c r="E62" i="1"/>
  <c r="M12" i="1"/>
  <c r="E63" i="1"/>
  <c r="H46" i="1"/>
  <c r="W46" i="1"/>
  <c r="L46" i="1"/>
  <c r="V46" i="1"/>
  <c r="U46" i="1"/>
  <c r="D46" i="1"/>
  <c r="Q46" i="1"/>
  <c r="P46" i="1"/>
  <c r="M46" i="1"/>
  <c r="N46" i="1"/>
  <c r="T9" i="1"/>
  <c r="T13" i="1" s="1"/>
  <c r="S9" i="1"/>
  <c r="S13" i="1" s="1"/>
  <c r="S8" i="1"/>
  <c r="S7" i="1"/>
  <c r="S11" i="1" s="1"/>
  <c r="S46" i="1" s="1"/>
  <c r="S6" i="1"/>
  <c r="K9" i="1"/>
  <c r="K13" i="1" s="1"/>
  <c r="K8" i="1"/>
  <c r="K7" i="1"/>
  <c r="K11" i="1" s="1"/>
  <c r="K46" i="1" s="1"/>
  <c r="K6" i="1"/>
  <c r="L9" i="1"/>
  <c r="L13" i="1" s="1"/>
  <c r="L8" i="1"/>
  <c r="F9" i="1"/>
  <c r="F13" i="1" s="1"/>
  <c r="F8" i="1"/>
  <c r="F7" i="1"/>
  <c r="F11" i="1" s="1"/>
  <c r="F46" i="1" s="1"/>
  <c r="G9" i="1"/>
  <c r="G13" i="1" s="1"/>
  <c r="G8" i="1"/>
  <c r="E9" i="1"/>
  <c r="E13" i="1" s="1"/>
  <c r="E8" i="1"/>
  <c r="E7" i="1"/>
  <c r="E11" i="1" s="1"/>
  <c r="E46" i="1" s="1"/>
  <c r="F6" i="1"/>
  <c r="E6" i="1"/>
  <c r="I5" i="1"/>
  <c r="E12" i="1" l="1"/>
  <c r="E56" i="1"/>
  <c r="F12" i="1"/>
  <c r="E54" i="1"/>
  <c r="G12" i="1"/>
  <c r="E55" i="1"/>
  <c r="L12" i="1"/>
  <c r="E65" i="1"/>
  <c r="K12" i="1"/>
  <c r="E61" i="1"/>
  <c r="S12" i="1"/>
  <c r="E66" i="1"/>
  <c r="I8" i="1"/>
  <c r="I9" i="1"/>
  <c r="I13" i="1" s="1"/>
  <c r="I6" i="1"/>
  <c r="I7" i="1"/>
  <c r="I11" i="1" s="1"/>
  <c r="I46" i="1" s="1"/>
  <c r="G6" i="1"/>
  <c r="G7" i="1"/>
  <c r="G11" i="1" s="1"/>
  <c r="G46" i="1" s="1"/>
  <c r="T8" i="1"/>
  <c r="T7" i="1"/>
  <c r="T11" i="1" s="1"/>
  <c r="T46" i="1" s="1"/>
  <c r="T6" i="1"/>
  <c r="I12" i="1" l="1"/>
  <c r="E58" i="1"/>
  <c r="T12" i="1"/>
  <c r="E67" i="1"/>
</calcChain>
</file>

<file path=xl/sharedStrings.xml><?xml version="1.0" encoding="utf-8"?>
<sst xmlns="http://schemas.openxmlformats.org/spreadsheetml/2006/main" count="699" uniqueCount="106">
  <si>
    <t>Project Templates</t>
  </si>
  <si>
    <t>Reports</t>
  </si>
  <si>
    <t>Gantt Charts</t>
  </si>
  <si>
    <t>Smartsheet</t>
  </si>
  <si>
    <t>Yes</t>
  </si>
  <si>
    <t>No</t>
  </si>
  <si>
    <t>Via Data Feed</t>
  </si>
  <si>
    <t>Calendar View</t>
  </si>
  <si>
    <t>BaseCamp</t>
  </si>
  <si>
    <t>5 standard</t>
  </si>
  <si>
    <t>Yes, clunky</t>
  </si>
  <si>
    <t>Task Dependencies</t>
  </si>
  <si>
    <t>Custom Fields</t>
  </si>
  <si>
    <t>Project Portfolio Management</t>
  </si>
  <si>
    <t>Monday</t>
  </si>
  <si>
    <t>Timelines</t>
  </si>
  <si>
    <t>Wrike</t>
  </si>
  <si>
    <t>Asana</t>
  </si>
  <si>
    <t>So-So</t>
  </si>
  <si>
    <t>via Google</t>
  </si>
  <si>
    <t>Basic PM Forms Builder</t>
  </si>
  <si>
    <t>Tasks</t>
  </si>
  <si>
    <t>Subtasks</t>
  </si>
  <si>
    <t>Attach Files to Plans and Tasks</t>
  </si>
  <si>
    <t>@mentions</t>
  </si>
  <si>
    <t>10 Users (per year)</t>
  </si>
  <si>
    <t>25 Users (per year)</t>
  </si>
  <si>
    <t>50 Users (per year)</t>
  </si>
  <si>
    <t>100 Users (per year)</t>
  </si>
  <si>
    <t>Costs are published list prices.</t>
  </si>
  <si>
    <t>Abigail Bysshe</t>
  </si>
  <si>
    <t>Meh</t>
  </si>
  <si>
    <t>Must Have</t>
  </si>
  <si>
    <t>Nice to Have</t>
  </si>
  <si>
    <t>Message/Discussion boards</t>
  </si>
  <si>
    <t>Chat Feature</t>
  </si>
  <si>
    <t>Project File Repository</t>
  </si>
  <si>
    <t>Request</t>
  </si>
  <si>
    <t>MS Planner</t>
  </si>
  <si>
    <t>Open
Project</t>
  </si>
  <si>
    <t>SharePoint
2016</t>
  </si>
  <si>
    <t>Sort Of</t>
  </si>
  <si>
    <t>Assignment Alerts</t>
  </si>
  <si>
    <t>via Gcal</t>
  </si>
  <si>
    <t>PC Mag Top 10 2018</t>
  </si>
  <si>
    <t>PC Mag Editors Choice 2018</t>
  </si>
  <si>
    <t>Liquid Planner</t>
  </si>
  <si>
    <t>Slack</t>
  </si>
  <si>
    <t>Volerro</t>
  </si>
  <si>
    <t>$250 u/y</t>
  </si>
  <si>
    <t>Sliding</t>
  </si>
  <si>
    <t>$120 u/y</t>
  </si>
  <si>
    <t>$1.23 u/y</t>
  </si>
  <si>
    <t>$83.88 u/y</t>
  </si>
  <si>
    <t>$99 mo flat</t>
  </si>
  <si>
    <t>$99 u/y</t>
  </si>
  <si>
    <t>LeanKit</t>
  </si>
  <si>
    <t>Podio</t>
  </si>
  <si>
    <t>AirTable</t>
  </si>
  <si>
    <t>3rd Party</t>
  </si>
  <si>
    <t>Software Training</t>
  </si>
  <si>
    <t>Anti</t>
  </si>
  <si>
    <t>Against</t>
  </si>
  <si>
    <t>Add-On App</t>
  </si>
  <si>
    <t>Time Tracking (Manual)</t>
  </si>
  <si>
    <t>Time Tracking (Pushbutton)</t>
  </si>
  <si>
    <t>vi Redmine</t>
  </si>
  <si>
    <t>Assignment/Due Date Notifications</t>
  </si>
  <si>
    <t>Active
Collab</t>
  </si>
  <si>
    <t>Zoho Forms</t>
  </si>
  <si>
    <t>Custom</t>
  </si>
  <si>
    <t>Gerri Troskin</t>
  </si>
  <si>
    <t>Nice</t>
  </si>
  <si>
    <t>N/A</t>
  </si>
  <si>
    <t>Cat Aboudara</t>
  </si>
  <si>
    <t>Outlook</t>
  </si>
  <si>
    <t xml:space="preserve"> </t>
  </si>
  <si>
    <t>$ Feature Per User Per Year @ 100</t>
  </si>
  <si>
    <t xml:space="preserve">Zoho </t>
  </si>
  <si>
    <t>Projects + Reports</t>
  </si>
  <si>
    <t>MS Project</t>
  </si>
  <si>
    <t>+ Office 365</t>
  </si>
  <si>
    <t>(Business)</t>
  </si>
  <si>
    <t>Freedcamp</t>
  </si>
  <si>
    <t>Score</t>
  </si>
  <si>
    <t>Year 2 Cost ( @50 users)</t>
  </si>
  <si>
    <t>+ Teams on Office 365</t>
  </si>
  <si>
    <t>+ Teams</t>
  </si>
  <si>
    <t>Trello</t>
  </si>
  <si>
    <t>Target Process</t>
  </si>
  <si>
    <t>Comment on Task or Card</t>
  </si>
  <si>
    <t>Year 1 Cost +  Training (@ 25 users)</t>
  </si>
  <si>
    <t>QuickBase</t>
  </si>
  <si>
    <t xml:space="preserve">Cost @ 
50 Users </t>
  </si>
  <si>
    <t>Cost at 50 Users (Excluding Training)</t>
  </si>
  <si>
    <t>Requirements Match</t>
  </si>
  <si>
    <t>Year 3 Cost (@100 Users)</t>
  </si>
  <si>
    <t>% Score (weighted)</t>
  </si>
  <si>
    <t>Val</t>
  </si>
  <si>
    <t>Score (weighted)</t>
  </si>
  <si>
    <t>User-Friendly Design for Non-PMs</t>
  </si>
  <si>
    <t>3rd Party Project Mgmnt Training</t>
  </si>
  <si>
    <t>Weekly Summary-External</t>
  </si>
  <si>
    <t>Weekly Summary-Team</t>
  </si>
  <si>
    <t>Small GroupMessage Threads</t>
  </si>
  <si>
    <t>Gartner/Software Advice Pick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</si>
</sst>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Helvetica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44" fontId="0" fillId="0" borderId="0" xfId="1" applyFont="1"/>
    <xf numFmtId="164" fontId="0" fillId="0" borderId="0" xfId="1" applyNumberFormat="1" applyFont="1"/>
    <xf numFmtId="0" fontId="3" fillId="0" borderId="0" xfId="0" applyFont="1"/>
    <xf numFmtId="0" fontId="0" fillId="0" borderId="1" xfId="0" applyBorder="1"/>
    <xf numFmtId="6" fontId="0" fillId="0" borderId="0" xfId="0" applyNumberFormat="1"/>
    <xf numFmtId="44" fontId="0" fillId="0" borderId="0" xfId="1" applyNumberFormat="1" applyFont="1"/>
    <xf numFmtId="164" fontId="0" fillId="0" borderId="0" xfId="0" applyNumberFormat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Fill="1" applyBorder="1"/>
    <xf numFmtId="9" fontId="0" fillId="0" borderId="0" xfId="2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2" xfId="0" quotePrefix="1" applyBorder="1"/>
    <xf numFmtId="0" fontId="0" fillId="0" borderId="3" xfId="0" applyBorder="1"/>
    <xf numFmtId="0" fontId="5" fillId="2" borderId="2" xfId="3" applyBorder="1"/>
    <xf numFmtId="9" fontId="0" fillId="0" borderId="0" xfId="0" applyNumberFormat="1"/>
    <xf numFmtId="0" fontId="1" fillId="0" borderId="0" xfId="0" quotePrefix="1" applyFont="1"/>
    <xf numFmtId="0" fontId="1" fillId="0" borderId="0" xfId="0" quotePrefix="1" applyFont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2" borderId="3" xfId="3" applyBorder="1"/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169"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theme="1" tint="0.499984740745262"/>
      </font>
      <fill>
        <patternFill>
          <bgColor rgb="FFFFEBE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FF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7806190331440698E-3"/>
                  <c:y val="2.6369074799929448E-2"/>
                </c:manualLayout>
              </c:layout>
              <c:tx>
                <c:rich>
                  <a:bodyPr/>
                  <a:lstStyle/>
                  <a:p>
                    <a:fld id="{25A1A610-6034-4CD1-8884-05639653057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FBD93B7-0878-43D8-BA63-C36CAB296603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50A-4C57-A91E-33CBAF9486D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AB603FD-A569-4E1F-9BD1-13053C145AD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179D3D0-FDD3-408B-B0BD-B70AFCB1C65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50A-4C57-A91E-33CBAF9486D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F5A80A2-2AB6-48F9-B959-422AB39026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EDBCEF0-4B8C-4943-97CC-BBE65B2F477B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50A-4C57-A91E-33CBAF9486D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77C12F1-F4E3-4EF6-B69A-7ABE4F95491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90CF9D0-F949-46C8-A1AC-4E89E993D07A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50A-4C57-A91E-33CBAF9486D3}"/>
                </c:ext>
              </c:extLst>
            </c:dLbl>
            <c:dLbl>
              <c:idx val="4"/>
              <c:layout>
                <c:manualLayout>
                  <c:x val="5.2504762465194537E-3"/>
                  <c:y val="3.52726674272505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A51A2B-F3E9-46D0-8854-A368D32154C3}" type="CELLRANGE">
                      <a:rPr lang="en-US"/>
                      <a:pPr>
                        <a:defRPr/>
                      </a:pPr>
                      <a:t>[CELLRANGE]</a:t>
                    </a:fld>
                    <a:endParaRPr lang="en-US" baseline="0"/>
                  </a:p>
                  <a:p>
                    <a:pPr>
                      <a:defRPr/>
                    </a:pPr>
                    <a:fld id="{1618AD4A-04C8-46AB-A750-DA7563880BA5}" type="YVALUE">
                      <a:rPr lang="en-US"/>
                      <a:pPr>
                        <a:defRPr/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750440120277845E-2"/>
                      <c:h val="7.237233503706773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50A-4C57-A91E-33CBAF9486D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AE3CD7A-C5D6-4D97-8EFF-2D799E7C1E8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9E2BB2F-0B8A-4574-9C9A-8FCA083F0D9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50A-4C57-A91E-33CBAF9486D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41FABCB-882F-4376-9690-754305E2701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B5CDB86-C80A-4CCD-A579-96CC3A62A75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50A-4C57-A91E-33CBAF9486D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DE3A7E3-FBE3-4BFA-BB48-7F466EA21B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0C87883-6A9F-4BA7-97C0-95ADDF408C6E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50A-4C57-A91E-33CBAF9486D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9DF431A-1266-4CCC-8A69-9F96DBB41A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D51E82C-F583-4172-8FF7-66C5E883DABC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50A-4C57-A91E-33CBAF9486D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3AFEC05-1362-40F6-8EC7-8F25431D9F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9A6AB88-57C2-43C8-B090-421BB4F5F58A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50A-4C57-A91E-33CBAF9486D3}"/>
                </c:ext>
              </c:extLst>
            </c:dLbl>
            <c:dLbl>
              <c:idx val="10"/>
              <c:layout>
                <c:manualLayout>
                  <c:x val="2.3272728338908012E-2"/>
                  <c:y val="0"/>
                </c:manualLayout>
              </c:layout>
              <c:tx>
                <c:rich>
                  <a:bodyPr/>
                  <a:lstStyle/>
                  <a:p>
                    <a:fld id="{B00C5332-D297-4A20-8143-DAFE9A9C826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CC5744D-3EDF-47C8-BF7D-A3CC736C95E1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50A-4C57-A91E-33CBAF9486D3}"/>
                </c:ext>
              </c:extLst>
            </c:dLbl>
            <c:dLbl>
              <c:idx val="11"/>
              <c:layout>
                <c:manualLayout>
                  <c:x val="-7.4103848777842748E-2"/>
                  <c:y val="5.1446946324691871E-2"/>
                </c:manualLayout>
              </c:layout>
              <c:tx>
                <c:rich>
                  <a:bodyPr/>
                  <a:lstStyle/>
                  <a:p>
                    <a:fld id="{62678945-8342-46FB-B782-70B77C36DED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9C98A4-088E-4535-99AE-4B0733C726C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50A-4C57-A91E-33CBAF9486D3}"/>
                </c:ext>
              </c:extLst>
            </c:dLbl>
            <c:dLbl>
              <c:idx val="12"/>
              <c:layout>
                <c:manualLayout>
                  <c:x val="1.3561238066288554E-2"/>
                  <c:y val="1.1301032057112628E-2"/>
                </c:manualLayout>
              </c:layout>
              <c:tx>
                <c:rich>
                  <a:bodyPr/>
                  <a:lstStyle/>
                  <a:p>
                    <a:fld id="{7284C53D-BA9E-4E61-93D6-B8678E44865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863D43-2031-446D-AA3C-4EC58FEAFDB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50A-4C57-A91E-33CBAF9486D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9941F3C-C217-4246-8764-4D260D47C5B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225224-1475-439E-8AF9-9CB8E11D840B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A50A-4C57-A91E-33CBAF9486D3}"/>
                </c:ext>
              </c:extLst>
            </c:dLbl>
            <c:dLbl>
              <c:idx val="14"/>
              <c:layout>
                <c:manualLayout>
                  <c:x val="-6.1025571298298199E-2"/>
                  <c:y val="3.3903096171337868E-2"/>
                </c:manualLayout>
              </c:layout>
              <c:tx>
                <c:rich>
                  <a:bodyPr/>
                  <a:lstStyle/>
                  <a:p>
                    <a:fld id="{97B71AA0-D90D-481F-965E-D8C33516FB7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E9B5BAF-F6CE-44E8-AC40-1C3CE80F677B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50A-4C57-A91E-33CBAF9486D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EF2EF7A-F5E4-4DF2-89BC-97160648C5C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B248050-98BF-4D62-997D-E220958899A4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50A-4C57-A91E-33CBAF9486D3}"/>
                </c:ext>
              </c:extLst>
            </c:dLbl>
            <c:dLbl>
              <c:idx val="16"/>
              <c:layout>
                <c:manualLayout>
                  <c:x val="-5.0036365928652411E-2"/>
                  <c:y val="3.3138401559454189E-2"/>
                </c:manualLayout>
              </c:layout>
              <c:tx>
                <c:rich>
                  <a:bodyPr/>
                  <a:lstStyle/>
                  <a:p>
                    <a:fld id="{5026C9F7-83E7-4D16-9BBA-46087D1A48A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846EAD7-CAD4-41A8-8FED-465EE4937222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50A-4C57-A91E-33CBAF9486D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86AB18AF-180A-4735-A0BF-8ABA57923AD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CC85C52-F6B9-449D-B704-7B6D0C69C7B5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50A-4C57-A91E-33CBAF9486D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D79475F-0C7A-4015-AFDA-A5B0CC1A781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07D100E-75EA-444D-AEA0-C3941EF66B9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50A-4C57-A91E-33CBAF9486D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F2DCF06-65B8-4416-9E02-3DC41660DE2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D451F0-DFA6-40D6-A80A-9BE9B558D133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50A-4C57-A91E-33CBAF9486D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885F567-5813-4C44-A380-7D376E2B4C0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4E97595-A7A3-4AF1-8714-EF7153DFF8FD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A50A-4C57-A91E-33CBAF948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Details!$D$53:$D$73</c:f>
              <c:numCache>
                <c:formatCode>0%</c:formatCode>
                <c:ptCount val="21"/>
                <c:pt idx="0">
                  <c:v>0.9042553191489362</c:v>
                </c:pt>
                <c:pt idx="1">
                  <c:v>0.84042553191489366</c:v>
                </c:pt>
                <c:pt idx="2">
                  <c:v>0.84042553191489366</c:v>
                </c:pt>
                <c:pt idx="3">
                  <c:v>0.8936170212765957</c:v>
                </c:pt>
                <c:pt idx="4">
                  <c:v>0.91489361702127658</c:v>
                </c:pt>
                <c:pt idx="5">
                  <c:v>0.7978723404255319</c:v>
                </c:pt>
                <c:pt idx="6">
                  <c:v>0.68085106382978722</c:v>
                </c:pt>
                <c:pt idx="7">
                  <c:v>0.82978723404255317</c:v>
                </c:pt>
                <c:pt idx="8">
                  <c:v>0.76595744680851063</c:v>
                </c:pt>
                <c:pt idx="9">
                  <c:v>0.67021276595744683</c:v>
                </c:pt>
                <c:pt idx="10">
                  <c:v>0.68085106382978722</c:v>
                </c:pt>
                <c:pt idx="11">
                  <c:v>0.68085106382978722</c:v>
                </c:pt>
                <c:pt idx="12">
                  <c:v>0.69148936170212771</c:v>
                </c:pt>
                <c:pt idx="13">
                  <c:v>0.61702127659574468</c:v>
                </c:pt>
                <c:pt idx="14">
                  <c:v>0.61702127659574468</c:v>
                </c:pt>
                <c:pt idx="15">
                  <c:v>0.61702127659574468</c:v>
                </c:pt>
                <c:pt idx="16">
                  <c:v>0.67021276595744683</c:v>
                </c:pt>
                <c:pt idx="17">
                  <c:v>0.65957446808510634</c:v>
                </c:pt>
                <c:pt idx="18">
                  <c:v>0.28723404255319152</c:v>
                </c:pt>
                <c:pt idx="19">
                  <c:v>0.30851063829787234</c:v>
                </c:pt>
                <c:pt idx="20">
                  <c:v>0.77659574468085102</c:v>
                </c:pt>
              </c:numCache>
            </c:numRef>
          </c:xVal>
          <c:yVal>
            <c:numRef>
              <c:f>Details!$E$53:$E$73</c:f>
              <c:numCache>
                <c:formatCode>_("$"* #,##0_);_("$"* \(#,##0\);_("$"* "-"??_);_(@_)</c:formatCode>
                <c:ptCount val="21"/>
                <c:pt idx="0">
                  <c:v>3380</c:v>
                </c:pt>
                <c:pt idx="1">
                  <c:v>10994</c:v>
                </c:pt>
                <c:pt idx="2">
                  <c:v>14880.000000000002</c:v>
                </c:pt>
                <c:pt idx="3">
                  <c:v>20000</c:v>
                </c:pt>
                <c:pt idx="4">
                  <c:v>0.01</c:v>
                </c:pt>
                <c:pt idx="5">
                  <c:v>8300</c:v>
                </c:pt>
                <c:pt idx="6">
                  <c:v>27000</c:v>
                </c:pt>
                <c:pt idx="7">
                  <c:v>2388</c:v>
                </c:pt>
                <c:pt idx="8">
                  <c:v>4194</c:v>
                </c:pt>
                <c:pt idx="9">
                  <c:v>9600</c:v>
                </c:pt>
                <c:pt idx="10">
                  <c:v>12000</c:v>
                </c:pt>
                <c:pt idx="11">
                  <c:v>12105</c:v>
                </c:pt>
                <c:pt idx="12">
                  <c:v>1223</c:v>
                </c:pt>
                <c:pt idx="13">
                  <c:v>7188</c:v>
                </c:pt>
                <c:pt idx="14">
                  <c:v>1188</c:v>
                </c:pt>
                <c:pt idx="15">
                  <c:v>2999.5</c:v>
                </c:pt>
                <c:pt idx="16">
                  <c:v>19200</c:v>
                </c:pt>
                <c:pt idx="17">
                  <c:v>5994</c:v>
                </c:pt>
                <c:pt idx="18">
                  <c:v>7500</c:v>
                </c:pt>
                <c:pt idx="19">
                  <c:v>4794</c:v>
                </c:pt>
                <c:pt idx="20">
                  <c:v>24000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Details!$B$53:$B$73</c15:f>
                <c15:dlblRangeCache>
                  <c:ptCount val="21"/>
                  <c:pt idx="0">
                    <c:v>Zoho </c:v>
                  </c:pt>
                  <c:pt idx="1">
                    <c:v>Asana</c:v>
                  </c:pt>
                  <c:pt idx="2">
                    <c:v>Wrike</c:v>
                  </c:pt>
                  <c:pt idx="3">
                    <c:v>Smartsheet</c:v>
                  </c:pt>
                  <c:pt idx="4">
                    <c:v>SharePoint
2016</c:v>
                  </c:pt>
                  <c:pt idx="5">
                    <c:v>MS Project</c:v>
                  </c:pt>
                  <c:pt idx="6">
                    <c:v>Liquid Planner</c:v>
                  </c:pt>
                  <c:pt idx="7">
                    <c:v>Active
Collab</c:v>
                  </c:pt>
                  <c:pt idx="8">
                    <c:v>Freedcamp</c:v>
                  </c:pt>
                  <c:pt idx="9">
                    <c:v>Podio</c:v>
                  </c:pt>
                  <c:pt idx="10">
                    <c:v>AirTable</c:v>
                  </c:pt>
                  <c:pt idx="11">
                    <c:v>Target Process</c:v>
                  </c:pt>
                  <c:pt idx="12">
                    <c:v>Open
Project</c:v>
                  </c:pt>
                  <c:pt idx="13">
                    <c:v>Monday</c:v>
                  </c:pt>
                  <c:pt idx="14">
                    <c:v>BaseCamp</c:v>
                  </c:pt>
                  <c:pt idx="15">
                    <c:v>MS Planner</c:v>
                  </c:pt>
                  <c:pt idx="16">
                    <c:v>LeanKit</c:v>
                  </c:pt>
                  <c:pt idx="17">
                    <c:v>Trello</c:v>
                  </c:pt>
                  <c:pt idx="18">
                    <c:v>Slack</c:v>
                  </c:pt>
                  <c:pt idx="19">
                    <c:v>Volerro</c:v>
                  </c:pt>
                  <c:pt idx="20">
                    <c:v>QuickBase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50A-4C57-A91E-33CBAF94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028751"/>
        <c:axId val="729047055"/>
      </c:scatterChart>
      <c:valAx>
        <c:axId val="729028751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047055"/>
        <c:crosses val="autoZero"/>
        <c:crossBetween val="midCat"/>
        <c:majorUnit val="5.000000000000001E-2"/>
      </c:valAx>
      <c:valAx>
        <c:axId val="72904705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028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18</xdr:col>
      <xdr:colOff>579437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228600</xdr:colOff>
      <xdr:row>2</xdr:row>
      <xdr:rowOff>114301</xdr:rowOff>
    </xdr:from>
    <xdr:to>
      <xdr:col>18</xdr:col>
      <xdr:colOff>295275</xdr:colOff>
      <xdr:row>10</xdr:row>
      <xdr:rowOff>152401</xdr:rowOff>
    </xdr:to>
    <xdr:sp macro="" textlink="">
      <xdr:nvSpPr>
        <xdr:cNvPr id="2" name="Rectangle 1"/>
        <xdr:cNvSpPr/>
      </xdr:nvSpPr>
      <xdr:spPr>
        <a:xfrm>
          <a:off x="8448675" y="495301"/>
          <a:ext cx="2505075" cy="15621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0.05509</cdr:x>
      <cdr:y>0.51123</cdr:y>
    </cdr:from>
    <cdr:to>
      <cdr:x>0.97726</cdr:x>
      <cdr:y>0.51123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19125" y="3447097"/>
          <a:ext cx="10363200" cy="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0.51448</cdr:x>
      <cdr:y>0.04506</cdr:y>
    </cdr:from>
    <cdr:to>
      <cdr:x>0.51533</cdr:x>
      <cdr:y>0.9774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5781675" y="303847"/>
          <a:ext cx="9525" cy="62865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U15" sqref="U15"/>
    </sheetView>
  </sheetViews>
  <sheetFormatPr defaultRowHeight="15" x14ac:dyDescent="0.25"/>
  <cols>
    <col min="1" max="1" width="4.42578125" customWidth="1"/>
  </cols>
  <sheetData>
    <row r="1" spans="1:19" x14ac:dyDescent="0.25">
      <c r="A1" t="s">
        <v>76</v>
      </c>
      <c r="B1" s="25" t="s">
        <v>95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A2" s="24" t="s">
        <v>94</v>
      </c>
    </row>
    <row r="3" spans="1:19" x14ac:dyDescent="0.25">
      <c r="A3" s="24"/>
    </row>
    <row r="4" spans="1:19" x14ac:dyDescent="0.25">
      <c r="A4" s="24"/>
    </row>
    <row r="5" spans="1:19" x14ac:dyDescent="0.25">
      <c r="A5" s="24"/>
    </row>
    <row r="6" spans="1:19" x14ac:dyDescent="0.25">
      <c r="A6" s="24"/>
    </row>
    <row r="7" spans="1:19" x14ac:dyDescent="0.25">
      <c r="A7" s="24"/>
    </row>
    <row r="8" spans="1:19" x14ac:dyDescent="0.25">
      <c r="A8" s="24"/>
    </row>
    <row r="9" spans="1:19" x14ac:dyDescent="0.25">
      <c r="A9" s="24"/>
    </row>
    <row r="10" spans="1:19" x14ac:dyDescent="0.25">
      <c r="A10" s="24"/>
    </row>
    <row r="11" spans="1:19" x14ac:dyDescent="0.25">
      <c r="A11" s="24"/>
    </row>
    <row r="12" spans="1:19" x14ac:dyDescent="0.25">
      <c r="A12" s="24"/>
    </row>
    <row r="13" spans="1:19" x14ac:dyDescent="0.25">
      <c r="A13" s="24"/>
    </row>
    <row r="14" spans="1:19" x14ac:dyDescent="0.25">
      <c r="A14" s="24"/>
    </row>
    <row r="15" spans="1:19" x14ac:dyDescent="0.25">
      <c r="A15" s="24"/>
    </row>
    <row r="16" spans="1:19" x14ac:dyDescent="0.25">
      <c r="A16" s="24"/>
    </row>
    <row r="17" spans="1:1" x14ac:dyDescent="0.25">
      <c r="A17" s="24"/>
    </row>
    <row r="18" spans="1: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  <row r="23" spans="1:1" x14ac:dyDescent="0.25">
      <c r="A23" s="24"/>
    </row>
    <row r="24" spans="1:1" x14ac:dyDescent="0.25">
      <c r="A24" s="24"/>
    </row>
    <row r="25" spans="1:1" x14ac:dyDescent="0.25">
      <c r="A25" s="24"/>
    </row>
    <row r="26" spans="1:1" x14ac:dyDescent="0.25">
      <c r="A26" s="24"/>
    </row>
    <row r="27" spans="1:1" x14ac:dyDescent="0.25">
      <c r="A27" s="24"/>
    </row>
    <row r="28" spans="1:1" x14ac:dyDescent="0.25">
      <c r="A28" s="24"/>
    </row>
    <row r="29" spans="1:1" x14ac:dyDescent="0.25">
      <c r="A29" s="24"/>
    </row>
    <row r="30" spans="1:1" x14ac:dyDescent="0.25">
      <c r="A30" s="24"/>
    </row>
    <row r="31" spans="1:1" x14ac:dyDescent="0.25">
      <c r="A31" s="24"/>
    </row>
    <row r="32" spans="1:1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</sheetData>
  <mergeCells count="2">
    <mergeCell ref="A2:A35"/>
    <mergeCell ref="B1:S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pane xSplit="2" ySplit="2" topLeftCell="D3" activePane="bottomRight" state="frozen"/>
      <selection pane="topRight" activeCell="B1" sqref="B1"/>
      <selection pane="bottomLeft" activeCell="A2" sqref="A2"/>
      <selection pane="bottomRight" activeCell="E52" sqref="E52:E73"/>
    </sheetView>
  </sheetViews>
  <sheetFormatPr defaultRowHeight="15" x14ac:dyDescent="0.25"/>
  <cols>
    <col min="1" max="1" width="3.42578125" bestFit="1" customWidth="1"/>
    <col min="2" max="2" width="33" bestFit="1" customWidth="1"/>
    <col min="3" max="3" width="10.7109375" bestFit="1" customWidth="1"/>
    <col min="4" max="4" width="11.28515625" bestFit="1" customWidth="1"/>
    <col min="5" max="5" width="11.140625" bestFit="1" customWidth="1"/>
    <col min="6" max="6" width="11.85546875" bestFit="1" customWidth="1"/>
    <col min="7" max="7" width="10.28515625" bestFit="1" customWidth="1"/>
    <col min="8" max="8" width="9" bestFit="1" customWidth="1"/>
    <col min="9" max="9" width="11.85546875" customWidth="1"/>
    <col min="10" max="10" width="10.140625" bestFit="1" customWidth="1"/>
    <col min="11" max="11" width="13.28515625" bestFit="1" customWidth="1"/>
    <col min="12" max="12" width="11.85546875" customWidth="1"/>
    <col min="13" max="13" width="9" bestFit="1" customWidth="1"/>
    <col min="14" max="16" width="11.85546875" customWidth="1"/>
    <col min="17" max="17" width="9" bestFit="1" customWidth="1"/>
    <col min="18" max="18" width="11.85546875" customWidth="1"/>
    <col min="19" max="19" width="9.7109375" bestFit="1" customWidth="1"/>
    <col min="20" max="21" width="11.85546875" customWidth="1"/>
    <col min="22" max="22" width="9" bestFit="1" customWidth="1"/>
    <col min="23" max="23" width="11.85546875" customWidth="1"/>
    <col min="25" max="27" width="11.85546875" customWidth="1"/>
    <col min="28" max="28" width="13.85546875" bestFit="1" customWidth="1"/>
    <col min="29" max="29" width="12.28515625" bestFit="1" customWidth="1"/>
    <col min="30" max="30" width="12.85546875" bestFit="1" customWidth="1"/>
  </cols>
  <sheetData>
    <row r="1" spans="1:30" ht="30" x14ac:dyDescent="0.25">
      <c r="C1" s="10" t="s">
        <v>40</v>
      </c>
      <c r="D1" s="10" t="s">
        <v>78</v>
      </c>
      <c r="E1" s="1" t="s">
        <v>3</v>
      </c>
      <c r="F1" s="1" t="s">
        <v>17</v>
      </c>
      <c r="G1" s="4" t="s">
        <v>16</v>
      </c>
      <c r="H1" s="10" t="s">
        <v>68</v>
      </c>
      <c r="I1" s="10" t="s">
        <v>80</v>
      </c>
      <c r="J1" s="10" t="s">
        <v>92</v>
      </c>
      <c r="K1" s="10" t="s">
        <v>83</v>
      </c>
      <c r="L1" s="10" t="s">
        <v>39</v>
      </c>
      <c r="M1" s="10" t="s">
        <v>58</v>
      </c>
      <c r="N1" s="10" t="s">
        <v>46</v>
      </c>
      <c r="O1" s="10" t="s">
        <v>89</v>
      </c>
      <c r="P1" s="10" t="s">
        <v>57</v>
      </c>
      <c r="Q1" s="10" t="s">
        <v>56</v>
      </c>
      <c r="R1" s="10" t="s">
        <v>88</v>
      </c>
      <c r="S1" s="1" t="s">
        <v>14</v>
      </c>
      <c r="T1" s="1" t="s">
        <v>8</v>
      </c>
      <c r="U1" s="10" t="s">
        <v>38</v>
      </c>
      <c r="V1" s="10" t="s">
        <v>48</v>
      </c>
      <c r="W1" s="10" t="s">
        <v>47</v>
      </c>
      <c r="Y1" s="10"/>
      <c r="Z1" s="10"/>
      <c r="AA1" s="10"/>
    </row>
    <row r="2" spans="1:30" ht="30" x14ac:dyDescent="0.25">
      <c r="C2" s="20" t="s">
        <v>87</v>
      </c>
      <c r="D2" s="10" t="s">
        <v>79</v>
      </c>
      <c r="I2" s="20" t="s">
        <v>81</v>
      </c>
      <c r="K2" t="s">
        <v>82</v>
      </c>
      <c r="O2" s="10"/>
      <c r="R2" s="10"/>
      <c r="U2" s="21" t="s">
        <v>86</v>
      </c>
      <c r="Y2" s="10"/>
      <c r="Z2" s="10"/>
      <c r="AA2" s="10"/>
    </row>
    <row r="3" spans="1:30" ht="19.5" hidden="1" customHeight="1" x14ac:dyDescent="0.25">
      <c r="D3" t="s">
        <v>50</v>
      </c>
      <c r="E3" t="s">
        <v>49</v>
      </c>
      <c r="F3" t="s">
        <v>51</v>
      </c>
      <c r="G3" t="s">
        <v>50</v>
      </c>
      <c r="I3" t="s">
        <v>55</v>
      </c>
      <c r="K3" t="s">
        <v>53</v>
      </c>
      <c r="L3" t="s">
        <v>52</v>
      </c>
      <c r="S3" t="s">
        <v>50</v>
      </c>
      <c r="T3" t="s">
        <v>54</v>
      </c>
    </row>
    <row r="4" spans="1:30" ht="20.25" customHeight="1" x14ac:dyDescent="0.25">
      <c r="B4" t="s">
        <v>101</v>
      </c>
      <c r="C4" s="3">
        <v>10000</v>
      </c>
      <c r="D4" s="3">
        <v>10000</v>
      </c>
      <c r="E4" s="3">
        <v>10000</v>
      </c>
      <c r="F4" s="3">
        <v>10000</v>
      </c>
      <c r="G4" s="3">
        <v>10000</v>
      </c>
      <c r="H4" s="3">
        <v>10000</v>
      </c>
      <c r="I4" s="3">
        <v>10000</v>
      </c>
      <c r="J4" s="3">
        <v>10000</v>
      </c>
      <c r="K4" s="3">
        <v>10000</v>
      </c>
      <c r="L4" s="3">
        <v>10000</v>
      </c>
      <c r="M4" s="3">
        <v>10000</v>
      </c>
      <c r="N4" s="3">
        <v>10000</v>
      </c>
      <c r="O4" s="3">
        <v>10000</v>
      </c>
      <c r="P4" s="3">
        <v>10000</v>
      </c>
      <c r="Q4" s="3">
        <v>10000</v>
      </c>
      <c r="R4" s="3">
        <v>10000</v>
      </c>
      <c r="S4" s="3">
        <v>10000</v>
      </c>
      <c r="T4" s="3">
        <v>10000</v>
      </c>
      <c r="U4" s="3">
        <v>10000</v>
      </c>
      <c r="V4" s="3">
        <v>10000</v>
      </c>
      <c r="W4" s="3">
        <v>10000</v>
      </c>
      <c r="Y4" s="3"/>
      <c r="Z4" s="3"/>
      <c r="AA4" s="3"/>
    </row>
    <row r="5" spans="1:30" x14ac:dyDescent="0.25">
      <c r="B5" t="s">
        <v>60</v>
      </c>
      <c r="C5" s="3">
        <v>0</v>
      </c>
      <c r="D5" s="3">
        <v>0</v>
      </c>
      <c r="E5" s="3">
        <v>2500</v>
      </c>
      <c r="F5" s="3">
        <v>2500</v>
      </c>
      <c r="G5" s="3">
        <v>0</v>
      </c>
      <c r="H5" s="3">
        <v>0</v>
      </c>
      <c r="I5" s="3">
        <f>335*5</f>
        <v>1675</v>
      </c>
      <c r="J5" s="3">
        <v>0</v>
      </c>
      <c r="K5" s="3">
        <v>0</v>
      </c>
      <c r="L5" s="3">
        <v>380</v>
      </c>
      <c r="M5" s="3">
        <v>0</v>
      </c>
      <c r="N5" s="3">
        <v>0</v>
      </c>
      <c r="O5" s="3">
        <v>105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Y5" s="3"/>
      <c r="Z5" s="3"/>
      <c r="AA5" s="3"/>
    </row>
    <row r="6" spans="1:30" x14ac:dyDescent="0.25">
      <c r="B6" t="s">
        <v>25</v>
      </c>
      <c r="C6" s="3">
        <v>0</v>
      </c>
      <c r="D6" s="3">
        <f>(85*12)+ (125*12)</f>
        <v>2520</v>
      </c>
      <c r="E6" s="3">
        <f>(25*10*12)+E5</f>
        <v>5500</v>
      </c>
      <c r="F6" s="7">
        <f>(9.99*12*10)+ F5</f>
        <v>3698.8</v>
      </c>
      <c r="G6" s="3">
        <f>24.8 *12* 10</f>
        <v>2976</v>
      </c>
      <c r="H6" s="3">
        <f>49*12</f>
        <v>588</v>
      </c>
      <c r="I6" s="3">
        <f>(99*10)+I5</f>
        <v>2665</v>
      </c>
      <c r="J6" s="3">
        <f>40*10*12</f>
        <v>4800</v>
      </c>
      <c r="K6" s="3">
        <f>10*83.88</f>
        <v>838.8</v>
      </c>
      <c r="L6" s="3">
        <f>(1.23*25*12)+L5</f>
        <v>749</v>
      </c>
      <c r="M6" s="3">
        <f>20*12*10</f>
        <v>2400</v>
      </c>
      <c r="N6" s="3">
        <f>45*12*10</f>
        <v>5400</v>
      </c>
      <c r="O6" s="3">
        <f>20*12*10</f>
        <v>2400</v>
      </c>
      <c r="P6" s="3">
        <f>19.2*12*10</f>
        <v>2304</v>
      </c>
      <c r="Q6" s="3">
        <f>32*10*12</f>
        <v>3840</v>
      </c>
      <c r="R6" s="3">
        <f>9.99*10*12</f>
        <v>1198.8000000000002</v>
      </c>
      <c r="S6" s="3">
        <f>119*12</f>
        <v>1428</v>
      </c>
      <c r="T6" s="3">
        <f>99*12</f>
        <v>1188</v>
      </c>
      <c r="U6" s="3">
        <f>59.99*10</f>
        <v>599.9</v>
      </c>
      <c r="V6" s="3">
        <f>7.99*10*12</f>
        <v>958.80000000000007</v>
      </c>
      <c r="W6" s="3">
        <f>12.5*12*10</f>
        <v>1500</v>
      </c>
      <c r="Y6" s="3"/>
      <c r="Z6" s="3"/>
      <c r="AA6" s="3"/>
    </row>
    <row r="7" spans="1:30" x14ac:dyDescent="0.25">
      <c r="B7" t="s">
        <v>26</v>
      </c>
      <c r="C7" s="3">
        <v>0</v>
      </c>
      <c r="D7" s="3">
        <f>(85*12)+ (125*12)+10*8</f>
        <v>2600</v>
      </c>
      <c r="E7" s="3">
        <f>(25*25*12)+E5</f>
        <v>10000</v>
      </c>
      <c r="F7" s="3">
        <f>(9.99*12*25) + F5</f>
        <v>5497</v>
      </c>
      <c r="G7" s="3">
        <f>24.8 *12* 25</f>
        <v>7440.0000000000009</v>
      </c>
      <c r="H7" s="3">
        <f>99*12</f>
        <v>1188</v>
      </c>
      <c r="I7" s="3">
        <f>(99*25)+I5</f>
        <v>4150</v>
      </c>
      <c r="J7" s="3">
        <f>40*25*12</f>
        <v>12000</v>
      </c>
      <c r="K7" s="3">
        <f>25*83.88</f>
        <v>2097</v>
      </c>
      <c r="L7" s="3">
        <f>(1.23*25*12)+L5</f>
        <v>749</v>
      </c>
      <c r="M7" s="3">
        <f>20*12*25</f>
        <v>6000</v>
      </c>
      <c r="N7" s="3">
        <f>45*12*25</f>
        <v>13500</v>
      </c>
      <c r="O7" s="3">
        <f>20*12*25</f>
        <v>6000</v>
      </c>
      <c r="P7" s="3">
        <f>19.2*25*10</f>
        <v>4800</v>
      </c>
      <c r="Q7" s="3">
        <f>32*25*12</f>
        <v>9600</v>
      </c>
      <c r="R7" s="3">
        <f>9.99*25*12</f>
        <v>2997</v>
      </c>
      <c r="S7" s="3">
        <f>289*12</f>
        <v>3468</v>
      </c>
      <c r="T7" s="3">
        <f>99*12</f>
        <v>1188</v>
      </c>
      <c r="U7" s="3">
        <f>59.99*25</f>
        <v>1499.75</v>
      </c>
      <c r="V7" s="3">
        <f>7.99*25*12</f>
        <v>2397</v>
      </c>
      <c r="W7" s="3">
        <f>12.5*12*25</f>
        <v>3750</v>
      </c>
      <c r="Y7" s="3"/>
      <c r="Z7" s="3"/>
      <c r="AA7" s="3"/>
    </row>
    <row r="8" spans="1:30" x14ac:dyDescent="0.25">
      <c r="B8" t="s">
        <v>27</v>
      </c>
      <c r="C8" s="3">
        <v>0</v>
      </c>
      <c r="D8" s="3">
        <f>(125*12)+(4*25)+(125*12)+8*35</f>
        <v>3380</v>
      </c>
      <c r="E8" s="3">
        <f>(50*25*12)+E5</f>
        <v>17500</v>
      </c>
      <c r="F8" s="3">
        <f>(9.99*12*50) + F5</f>
        <v>8494</v>
      </c>
      <c r="G8" s="3">
        <f>24.8 *12* 50</f>
        <v>14880.000000000002</v>
      </c>
      <c r="H8" s="3">
        <f>199*12</f>
        <v>2388</v>
      </c>
      <c r="I8" s="3">
        <f>(99*50)+I5</f>
        <v>6625</v>
      </c>
      <c r="J8" s="3">
        <f>40*50*12</f>
        <v>24000</v>
      </c>
      <c r="K8" s="3">
        <f>50*83.88</f>
        <v>4194</v>
      </c>
      <c r="L8" s="3">
        <f>(1.23*50*12)+L5</f>
        <v>1118</v>
      </c>
      <c r="M8" s="3">
        <f>20*12*50</f>
        <v>12000</v>
      </c>
      <c r="N8" s="3">
        <f>45*12*50</f>
        <v>27000</v>
      </c>
      <c r="O8" s="3">
        <f>20*12*50</f>
        <v>12000</v>
      </c>
      <c r="P8" s="3">
        <f>19.2*50*10</f>
        <v>9600</v>
      </c>
      <c r="Q8" s="3">
        <f>32*50*12</f>
        <v>19200</v>
      </c>
      <c r="R8" s="3">
        <f>9.99*50*12</f>
        <v>5994</v>
      </c>
      <c r="S8" s="3">
        <f>599*12</f>
        <v>7188</v>
      </c>
      <c r="T8" s="3">
        <f>99*12</f>
        <v>1188</v>
      </c>
      <c r="U8" s="3">
        <f>59.99*50</f>
        <v>2999.5</v>
      </c>
      <c r="V8" s="3">
        <f>7.99*50*12</f>
        <v>4794</v>
      </c>
      <c r="W8" s="3">
        <f>12.5*50*12</f>
        <v>7500</v>
      </c>
      <c r="Y8" s="3"/>
      <c r="Z8" s="3"/>
      <c r="AA8" s="3"/>
    </row>
    <row r="9" spans="1:30" x14ac:dyDescent="0.25">
      <c r="B9" t="s">
        <v>28</v>
      </c>
      <c r="C9" s="3">
        <v>0</v>
      </c>
      <c r="D9" s="3">
        <f>(125*12)+(4*75)+(125*12)+8*85</f>
        <v>3980</v>
      </c>
      <c r="E9" s="8">
        <f>(100*25*12)+E5</f>
        <v>32500</v>
      </c>
      <c r="F9" s="8">
        <f>(9.99*12*100) + F5</f>
        <v>14488</v>
      </c>
      <c r="G9" s="3">
        <f>24.8 *12* 100</f>
        <v>29760.000000000004</v>
      </c>
      <c r="H9" s="3">
        <f>299*12</f>
        <v>3588</v>
      </c>
      <c r="I9" s="8">
        <f>(99*100)+I5</f>
        <v>11575</v>
      </c>
      <c r="J9" s="3">
        <f>40*100*12</f>
        <v>48000</v>
      </c>
      <c r="K9" s="8">
        <f>100*83.88</f>
        <v>8388</v>
      </c>
      <c r="L9" s="8">
        <f>(1.23*100*12)+L5</f>
        <v>1856</v>
      </c>
      <c r="M9" s="3">
        <f>20*12*100</f>
        <v>24000</v>
      </c>
      <c r="N9" s="3">
        <f>45*12*100</f>
        <v>54000</v>
      </c>
      <c r="O9" s="3">
        <f>20*12*100</f>
        <v>24000</v>
      </c>
      <c r="P9" s="3">
        <f>19.2*100*10</f>
        <v>19200</v>
      </c>
      <c r="Q9" s="3">
        <f>32*100*12</f>
        <v>38400</v>
      </c>
      <c r="R9" s="3">
        <f>9.99*100*12</f>
        <v>11988</v>
      </c>
      <c r="S9" s="8">
        <f>1199*12</f>
        <v>14388</v>
      </c>
      <c r="T9" s="8">
        <f>99*12</f>
        <v>1188</v>
      </c>
      <c r="U9" s="3">
        <f>59.99*100</f>
        <v>5999</v>
      </c>
      <c r="V9" s="3">
        <f>7.99*100*12</f>
        <v>9588</v>
      </c>
      <c r="W9" s="3">
        <f>12.5*100*12</f>
        <v>15000</v>
      </c>
      <c r="Y9" s="3"/>
      <c r="Z9" s="3"/>
      <c r="AA9" s="3"/>
    </row>
    <row r="10" spans="1:30" x14ac:dyDescent="0.25">
      <c r="D10" s="3"/>
      <c r="E10" s="8"/>
      <c r="F10" s="8"/>
      <c r="H10" s="3"/>
      <c r="I10" s="8"/>
      <c r="K10" s="8"/>
      <c r="L10" s="8"/>
      <c r="M10" s="3"/>
      <c r="N10" s="3"/>
      <c r="O10" s="3"/>
      <c r="P10" s="3"/>
      <c r="Q10" s="3"/>
      <c r="R10" s="3"/>
      <c r="S10" s="8"/>
      <c r="T10" s="8"/>
      <c r="V10" s="3"/>
      <c r="W10" s="3"/>
      <c r="Y10" s="3"/>
      <c r="Z10" s="3"/>
      <c r="AA10" s="3"/>
    </row>
    <row r="11" spans="1:30" x14ac:dyDescent="0.25">
      <c r="B11" t="s">
        <v>91</v>
      </c>
      <c r="C11" s="8">
        <f t="shared" ref="C11:Q11" si="0">C4+C5+C7</f>
        <v>10000</v>
      </c>
      <c r="D11" s="8">
        <f>D4+D5+D7</f>
        <v>12600</v>
      </c>
      <c r="E11" s="8">
        <f t="shared" si="0"/>
        <v>22500</v>
      </c>
      <c r="F11" s="8">
        <f t="shared" si="0"/>
        <v>17997</v>
      </c>
      <c r="G11" s="8">
        <f t="shared" si="0"/>
        <v>17440</v>
      </c>
      <c r="H11" s="8">
        <f>H4+H5+H7</f>
        <v>11188</v>
      </c>
      <c r="I11" s="8">
        <f t="shared" si="0"/>
        <v>15825</v>
      </c>
      <c r="J11" s="8">
        <f>J4+J5+J7</f>
        <v>22000</v>
      </c>
      <c r="K11" s="8">
        <f t="shared" si="0"/>
        <v>12097</v>
      </c>
      <c r="L11" s="8">
        <f>L4+L5+L7</f>
        <v>11129</v>
      </c>
      <c r="M11" s="8">
        <f>M4+M5+M7</f>
        <v>16000</v>
      </c>
      <c r="N11" s="8">
        <f>N4+N5+N7</f>
        <v>23500</v>
      </c>
      <c r="O11" s="8">
        <f>O4+O5+O7</f>
        <v>16105</v>
      </c>
      <c r="P11" s="8">
        <f t="shared" si="0"/>
        <v>14800</v>
      </c>
      <c r="Q11" s="8">
        <f t="shared" si="0"/>
        <v>19600</v>
      </c>
      <c r="R11" s="8">
        <f>R6+R4</f>
        <v>11198.8</v>
      </c>
      <c r="S11" s="8">
        <f>S4+S5+S7</f>
        <v>13468</v>
      </c>
      <c r="T11" s="8">
        <f>T4+T5+T7</f>
        <v>11188</v>
      </c>
      <c r="U11" s="8">
        <f>U4+U5+U7</f>
        <v>11499.75</v>
      </c>
      <c r="V11" s="8">
        <f>V4+V5+V7</f>
        <v>12397</v>
      </c>
      <c r="W11" s="8">
        <f>W4+W5+W7</f>
        <v>13750</v>
      </c>
      <c r="Y11" s="3"/>
      <c r="Z11" s="3"/>
      <c r="AA11" s="3"/>
    </row>
    <row r="12" spans="1:30" x14ac:dyDescent="0.25">
      <c r="B12" t="s">
        <v>85</v>
      </c>
      <c r="C12" s="8">
        <f t="shared" ref="C12:Q12" si="1">C8</f>
        <v>0</v>
      </c>
      <c r="D12" s="8">
        <f>D8</f>
        <v>3380</v>
      </c>
      <c r="E12" s="8">
        <f t="shared" si="1"/>
        <v>17500</v>
      </c>
      <c r="F12" s="8">
        <f t="shared" si="1"/>
        <v>8494</v>
      </c>
      <c r="G12" s="8">
        <f t="shared" si="1"/>
        <v>14880.000000000002</v>
      </c>
      <c r="H12" s="8">
        <f>H8</f>
        <v>2388</v>
      </c>
      <c r="I12" s="8">
        <f t="shared" si="1"/>
        <v>6625</v>
      </c>
      <c r="J12" s="8">
        <f>J8</f>
        <v>24000</v>
      </c>
      <c r="K12" s="8">
        <f t="shared" si="1"/>
        <v>4194</v>
      </c>
      <c r="L12" s="8">
        <f>L8</f>
        <v>1118</v>
      </c>
      <c r="M12" s="8">
        <f>M8</f>
        <v>12000</v>
      </c>
      <c r="N12" s="8">
        <f>N8</f>
        <v>27000</v>
      </c>
      <c r="O12" s="3">
        <f>O8</f>
        <v>12000</v>
      </c>
      <c r="P12" s="8">
        <f t="shared" si="1"/>
        <v>9600</v>
      </c>
      <c r="Q12" s="8">
        <f t="shared" si="1"/>
        <v>19200</v>
      </c>
      <c r="R12" s="8">
        <f>R7</f>
        <v>2997</v>
      </c>
      <c r="S12" s="8">
        <f>S8</f>
        <v>7188</v>
      </c>
      <c r="T12" s="8">
        <f>T8</f>
        <v>1188</v>
      </c>
      <c r="U12" s="8">
        <f>U8</f>
        <v>2999.5</v>
      </c>
      <c r="V12" s="8">
        <f>V8</f>
        <v>4794</v>
      </c>
      <c r="W12" s="8">
        <f>W8</f>
        <v>7500</v>
      </c>
      <c r="Y12" s="3"/>
      <c r="Z12" s="3"/>
      <c r="AA12" s="3"/>
    </row>
    <row r="13" spans="1:30" x14ac:dyDescent="0.25">
      <c r="B13" t="s">
        <v>96</v>
      </c>
      <c r="C13" s="8">
        <f t="shared" ref="C13:V13" si="2">C9</f>
        <v>0</v>
      </c>
      <c r="D13" s="8">
        <f>D9</f>
        <v>3980</v>
      </c>
      <c r="E13" s="8">
        <f t="shared" si="2"/>
        <v>32500</v>
      </c>
      <c r="F13" s="8">
        <f t="shared" si="2"/>
        <v>14488</v>
      </c>
      <c r="G13" s="8">
        <f t="shared" si="2"/>
        <v>29760.000000000004</v>
      </c>
      <c r="H13" s="8">
        <f>H9</f>
        <v>3588</v>
      </c>
      <c r="I13" s="8">
        <f t="shared" si="2"/>
        <v>11575</v>
      </c>
      <c r="J13" s="8">
        <f>J9</f>
        <v>48000</v>
      </c>
      <c r="K13" s="8">
        <f t="shared" si="2"/>
        <v>8388</v>
      </c>
      <c r="L13" s="8">
        <f>L9</f>
        <v>1856</v>
      </c>
      <c r="M13" s="8">
        <f>M9</f>
        <v>24000</v>
      </c>
      <c r="N13" s="8">
        <f>N9</f>
        <v>54000</v>
      </c>
      <c r="O13" s="8">
        <f>O9</f>
        <v>24000</v>
      </c>
      <c r="P13" s="8">
        <f t="shared" si="2"/>
        <v>19200</v>
      </c>
      <c r="Q13" s="8">
        <f t="shared" si="2"/>
        <v>38400</v>
      </c>
      <c r="R13" s="8">
        <f t="shared" si="2"/>
        <v>11988</v>
      </c>
      <c r="S13" s="8">
        <f t="shared" si="2"/>
        <v>14388</v>
      </c>
      <c r="T13" s="8">
        <f t="shared" si="2"/>
        <v>1188</v>
      </c>
      <c r="U13" s="8">
        <f t="shared" si="2"/>
        <v>5999</v>
      </c>
      <c r="V13" s="8">
        <f t="shared" si="2"/>
        <v>9588</v>
      </c>
      <c r="W13" s="8">
        <f>W9</f>
        <v>15000</v>
      </c>
      <c r="Y13" s="3"/>
      <c r="Z13" s="3"/>
      <c r="AA13" s="3"/>
    </row>
    <row r="14" spans="1:30" x14ac:dyDescent="0.25">
      <c r="A14" t="s">
        <v>98</v>
      </c>
      <c r="AB14" s="9" t="s">
        <v>30</v>
      </c>
      <c r="AC14" s="9" t="s">
        <v>71</v>
      </c>
      <c r="AD14" t="s">
        <v>74</v>
      </c>
    </row>
    <row r="15" spans="1:30" x14ac:dyDescent="0.25">
      <c r="A15">
        <v>5</v>
      </c>
      <c r="B15" s="15" t="s">
        <v>2</v>
      </c>
      <c r="C15" s="15" t="s">
        <v>4</v>
      </c>
      <c r="D15" s="15" t="s">
        <v>4</v>
      </c>
      <c r="E15" s="17" t="s">
        <v>4</v>
      </c>
      <c r="F15" s="15" t="s">
        <v>18</v>
      </c>
      <c r="G15" s="15" t="s">
        <v>4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5</v>
      </c>
      <c r="N15" s="15" t="s">
        <v>4</v>
      </c>
      <c r="O15" s="15" t="s">
        <v>4</v>
      </c>
      <c r="P15" s="15" t="s">
        <v>63</v>
      </c>
      <c r="Q15" s="15" t="s">
        <v>4</v>
      </c>
      <c r="R15" s="15" t="s">
        <v>63</v>
      </c>
      <c r="S15" s="15" t="s">
        <v>15</v>
      </c>
      <c r="T15" s="15" t="s">
        <v>63</v>
      </c>
      <c r="U15" s="15" t="s">
        <v>63</v>
      </c>
      <c r="V15" s="15" t="s">
        <v>5</v>
      </c>
      <c r="W15" s="15" t="s">
        <v>5</v>
      </c>
      <c r="Y15" s="14"/>
      <c r="Z15" s="14"/>
      <c r="AA15" s="14"/>
      <c r="AB15" t="s">
        <v>31</v>
      </c>
      <c r="AC15" t="s">
        <v>31</v>
      </c>
    </row>
    <row r="16" spans="1:30" x14ac:dyDescent="0.25">
      <c r="A16">
        <v>5</v>
      </c>
      <c r="B16" s="15" t="s">
        <v>1</v>
      </c>
      <c r="C16" s="15" t="s">
        <v>4</v>
      </c>
      <c r="D16" s="15" t="s">
        <v>4</v>
      </c>
      <c r="E16" s="17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23" t="s">
        <v>4</v>
      </c>
      <c r="K16" s="15" t="s">
        <v>6</v>
      </c>
      <c r="L16" s="15" t="s">
        <v>4</v>
      </c>
      <c r="M16" s="15" t="s">
        <v>4</v>
      </c>
      <c r="N16" s="15" t="s">
        <v>5</v>
      </c>
      <c r="O16" s="15" t="s">
        <v>4</v>
      </c>
      <c r="P16" s="15" t="s">
        <v>4</v>
      </c>
      <c r="Q16" s="15" t="s">
        <v>4</v>
      </c>
      <c r="R16" s="15" t="s">
        <v>4</v>
      </c>
      <c r="S16" s="15" t="s">
        <v>5</v>
      </c>
      <c r="T16" s="15" t="s">
        <v>9</v>
      </c>
      <c r="U16" s="15" t="s">
        <v>5</v>
      </c>
      <c r="V16" s="15" t="s">
        <v>5</v>
      </c>
      <c r="W16" s="15" t="s">
        <v>5</v>
      </c>
      <c r="Y16" s="14"/>
      <c r="Z16" s="14"/>
      <c r="AA16" s="14"/>
      <c r="AB16" t="s">
        <v>31</v>
      </c>
      <c r="AC16" t="s">
        <v>32</v>
      </c>
    </row>
    <row r="17" spans="1:29" x14ac:dyDescent="0.25">
      <c r="A17">
        <v>5</v>
      </c>
      <c r="B17" s="15" t="s">
        <v>42</v>
      </c>
      <c r="C17" s="15" t="s">
        <v>4</v>
      </c>
      <c r="D17" s="15" t="s">
        <v>4</v>
      </c>
      <c r="E17" s="17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22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63</v>
      </c>
      <c r="Q17" s="15" t="s">
        <v>4</v>
      </c>
      <c r="R17" s="15" t="s">
        <v>4</v>
      </c>
      <c r="S17" s="15" t="s">
        <v>4</v>
      </c>
      <c r="T17" s="15" t="s">
        <v>10</v>
      </c>
      <c r="U17" s="15" t="s">
        <v>4</v>
      </c>
      <c r="V17" s="15" t="s">
        <v>5</v>
      </c>
      <c r="W17" s="15" t="s">
        <v>5</v>
      </c>
      <c r="Y17" s="14"/>
      <c r="Z17" s="14"/>
      <c r="AA17" s="14"/>
      <c r="AB17" t="s">
        <v>32</v>
      </c>
      <c r="AC17" t="s">
        <v>32</v>
      </c>
    </row>
    <row r="18" spans="1:29" x14ac:dyDescent="0.25">
      <c r="A18">
        <v>5</v>
      </c>
      <c r="B18" s="15" t="s">
        <v>7</v>
      </c>
      <c r="C18" s="15" t="s">
        <v>4</v>
      </c>
      <c r="D18" s="15" t="s">
        <v>4</v>
      </c>
      <c r="E18" s="17" t="s">
        <v>4</v>
      </c>
      <c r="F18" s="15" t="s">
        <v>4</v>
      </c>
      <c r="G18" s="15" t="s">
        <v>19</v>
      </c>
      <c r="H18" s="15" t="s">
        <v>4</v>
      </c>
      <c r="I18" s="15" t="s">
        <v>4</v>
      </c>
      <c r="J18" s="22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63</v>
      </c>
      <c r="P18" s="15" t="s">
        <v>4</v>
      </c>
      <c r="Q18" s="15" t="s">
        <v>75</v>
      </c>
      <c r="R18" s="15" t="s">
        <v>4</v>
      </c>
      <c r="S18" s="15" t="s">
        <v>5</v>
      </c>
      <c r="T18" s="15" t="s">
        <v>4</v>
      </c>
      <c r="U18" s="15" t="s">
        <v>4</v>
      </c>
      <c r="V18" s="15" t="s">
        <v>5</v>
      </c>
      <c r="W18" s="15" t="s">
        <v>5</v>
      </c>
      <c r="Y18" s="14"/>
      <c r="Z18" s="14"/>
      <c r="AA18" s="14"/>
      <c r="AB18" t="s">
        <v>31</v>
      </c>
      <c r="AC18" t="s">
        <v>32</v>
      </c>
    </row>
    <row r="19" spans="1:29" x14ac:dyDescent="0.25">
      <c r="A19">
        <v>5</v>
      </c>
      <c r="B19" s="15" t="s">
        <v>90</v>
      </c>
      <c r="C19" s="15" t="s">
        <v>4</v>
      </c>
      <c r="D19" s="15" t="s">
        <v>4</v>
      </c>
      <c r="E19" s="17" t="s">
        <v>4</v>
      </c>
      <c r="F19" s="15" t="s">
        <v>4</v>
      </c>
      <c r="G19" s="15" t="s">
        <v>4</v>
      </c>
      <c r="H19" s="15" t="s">
        <v>4</v>
      </c>
      <c r="I19" s="15" t="s">
        <v>4</v>
      </c>
      <c r="J19" s="22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4</v>
      </c>
      <c r="Y19" s="14"/>
      <c r="Z19" s="14"/>
      <c r="AA19" s="14"/>
      <c r="AB19" t="s">
        <v>32</v>
      </c>
      <c r="AC19" t="s">
        <v>32</v>
      </c>
    </row>
    <row r="20" spans="1:29" x14ac:dyDescent="0.25">
      <c r="A20">
        <v>5</v>
      </c>
      <c r="B20" s="15" t="s">
        <v>100</v>
      </c>
      <c r="C20" s="15" t="s">
        <v>4</v>
      </c>
      <c r="D20" s="15" t="s">
        <v>4</v>
      </c>
      <c r="E20" s="17" t="s">
        <v>4</v>
      </c>
      <c r="F20" s="15" t="s">
        <v>4</v>
      </c>
      <c r="G20" s="15" t="s">
        <v>4</v>
      </c>
      <c r="H20" s="15" t="s">
        <v>4</v>
      </c>
      <c r="I20" s="15" t="s">
        <v>5</v>
      </c>
      <c r="J20" s="22" t="s">
        <v>4</v>
      </c>
      <c r="K20" s="15" t="s">
        <v>4</v>
      </c>
      <c r="L20" s="15" t="s">
        <v>5</v>
      </c>
      <c r="M20" s="15" t="s">
        <v>4</v>
      </c>
      <c r="N20" s="15" t="s">
        <v>5</v>
      </c>
      <c r="O20" s="15" t="s">
        <v>5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4</v>
      </c>
      <c r="U20" s="15" t="s">
        <v>4</v>
      </c>
      <c r="V20" s="15" t="s">
        <v>4</v>
      </c>
      <c r="W20" s="15" t="s">
        <v>4</v>
      </c>
      <c r="Y20" s="14"/>
      <c r="Z20" s="14"/>
      <c r="AA20" s="14"/>
      <c r="AB20" t="s">
        <v>32</v>
      </c>
      <c r="AC20" t="s">
        <v>32</v>
      </c>
    </row>
    <row r="21" spans="1:29" x14ac:dyDescent="0.25">
      <c r="A21">
        <v>5</v>
      </c>
      <c r="B21" s="15" t="s">
        <v>0</v>
      </c>
      <c r="C21" s="15" t="s">
        <v>4</v>
      </c>
      <c r="D21" s="15" t="s">
        <v>4</v>
      </c>
      <c r="E21" s="17" t="s">
        <v>4</v>
      </c>
      <c r="F21" s="15" t="s">
        <v>4</v>
      </c>
      <c r="G21" s="15" t="s">
        <v>4</v>
      </c>
      <c r="H21" s="15" t="s">
        <v>4</v>
      </c>
      <c r="I21" s="15" t="s">
        <v>4</v>
      </c>
      <c r="J21" s="22" t="s">
        <v>4</v>
      </c>
      <c r="K21" s="15" t="s">
        <v>4</v>
      </c>
      <c r="L21" s="15" t="s">
        <v>4</v>
      </c>
      <c r="M21" s="15" t="s">
        <v>4</v>
      </c>
      <c r="N21" s="15" t="s">
        <v>4</v>
      </c>
      <c r="O21" s="15" t="s">
        <v>4</v>
      </c>
      <c r="P21" s="15" t="s">
        <v>4</v>
      </c>
      <c r="Q21" s="15" t="s">
        <v>4</v>
      </c>
      <c r="R21" s="15" t="s">
        <v>4</v>
      </c>
      <c r="S21" s="15" t="s">
        <v>4</v>
      </c>
      <c r="T21" s="15" t="s">
        <v>4</v>
      </c>
      <c r="U21" s="15" t="s">
        <v>5</v>
      </c>
      <c r="V21" s="15" t="s">
        <v>5</v>
      </c>
      <c r="W21" s="15" t="s">
        <v>5</v>
      </c>
      <c r="Y21" s="14"/>
      <c r="Z21" s="14"/>
      <c r="AA21" s="14"/>
      <c r="AB21" t="s">
        <v>33</v>
      </c>
      <c r="AC21" t="s">
        <v>32</v>
      </c>
    </row>
    <row r="22" spans="1:29" x14ac:dyDescent="0.25">
      <c r="A22">
        <v>5</v>
      </c>
      <c r="B22" s="15" t="s">
        <v>21</v>
      </c>
      <c r="C22" s="15" t="s">
        <v>4</v>
      </c>
      <c r="D22" s="15" t="s">
        <v>4</v>
      </c>
      <c r="E22" s="17" t="s">
        <v>4</v>
      </c>
      <c r="F22" s="15" t="s">
        <v>4</v>
      </c>
      <c r="G22" s="15" t="s">
        <v>4</v>
      </c>
      <c r="H22" s="15" t="s">
        <v>4</v>
      </c>
      <c r="I22" s="15" t="s">
        <v>4</v>
      </c>
      <c r="J22" s="22" t="s">
        <v>4</v>
      </c>
      <c r="K22" s="15" t="s">
        <v>4</v>
      </c>
      <c r="L22" s="15" t="s">
        <v>4</v>
      </c>
      <c r="M22" s="15" t="s">
        <v>4</v>
      </c>
      <c r="N22" s="15" t="s">
        <v>4</v>
      </c>
      <c r="O22" s="15" t="s">
        <v>4</v>
      </c>
      <c r="P22" s="15" t="s">
        <v>4</v>
      </c>
      <c r="Q22" s="15" t="s">
        <v>4</v>
      </c>
      <c r="R22" s="15" t="s">
        <v>4</v>
      </c>
      <c r="S22" s="15" t="s">
        <v>4</v>
      </c>
      <c r="T22" s="15" t="s">
        <v>4</v>
      </c>
      <c r="U22" s="15" t="s">
        <v>4</v>
      </c>
      <c r="V22" s="15" t="s">
        <v>5</v>
      </c>
      <c r="W22" s="15" t="s">
        <v>5</v>
      </c>
      <c r="Y22" s="14"/>
      <c r="Z22" s="14"/>
      <c r="AA22" s="14"/>
      <c r="AB22" t="s">
        <v>31</v>
      </c>
      <c r="AC22" t="s">
        <v>32</v>
      </c>
    </row>
    <row r="23" spans="1:29" x14ac:dyDescent="0.25">
      <c r="A23">
        <v>5</v>
      </c>
      <c r="B23" s="15" t="s">
        <v>36</v>
      </c>
      <c r="C23" s="15" t="s">
        <v>4</v>
      </c>
      <c r="D23" s="15" t="s">
        <v>4</v>
      </c>
      <c r="E23" s="17" t="s">
        <v>4</v>
      </c>
      <c r="F23" s="15" t="s">
        <v>4</v>
      </c>
      <c r="G23" s="15" t="s">
        <v>4</v>
      </c>
      <c r="H23" s="15" t="s">
        <v>4</v>
      </c>
      <c r="I23" s="15" t="s">
        <v>4</v>
      </c>
      <c r="J23" s="23" t="s">
        <v>4</v>
      </c>
      <c r="K23" s="15" t="s">
        <v>4</v>
      </c>
      <c r="L23" s="15" t="s">
        <v>4</v>
      </c>
      <c r="M23" s="15" t="s">
        <v>4</v>
      </c>
      <c r="N23" s="15" t="s">
        <v>4</v>
      </c>
      <c r="O23" s="15" t="s">
        <v>4</v>
      </c>
      <c r="P23" s="15" t="s">
        <v>4</v>
      </c>
      <c r="Q23" s="15" t="s">
        <v>4</v>
      </c>
      <c r="R23" s="15" t="s">
        <v>4</v>
      </c>
      <c r="S23" s="15" t="s">
        <v>4</v>
      </c>
      <c r="T23" s="15" t="s">
        <v>4</v>
      </c>
      <c r="U23" s="15" t="s">
        <v>4</v>
      </c>
      <c r="V23" s="15" t="s">
        <v>4</v>
      </c>
      <c r="W23" s="15" t="s">
        <v>4</v>
      </c>
      <c r="Y23" s="14"/>
      <c r="Z23" s="14"/>
      <c r="AA23" s="14"/>
      <c r="AB23" t="s">
        <v>31</v>
      </c>
      <c r="AC23" t="s">
        <v>32</v>
      </c>
    </row>
    <row r="24" spans="1:29" x14ac:dyDescent="0.25">
      <c r="A24">
        <v>5</v>
      </c>
      <c r="B24" s="15" t="s">
        <v>23</v>
      </c>
      <c r="C24" s="15" t="s">
        <v>4</v>
      </c>
      <c r="D24" s="15" t="s">
        <v>4</v>
      </c>
      <c r="E24" s="17" t="s">
        <v>4</v>
      </c>
      <c r="F24" s="15" t="s">
        <v>4</v>
      </c>
      <c r="G24" s="15" t="s">
        <v>4</v>
      </c>
      <c r="H24" s="15" t="s">
        <v>4</v>
      </c>
      <c r="I24" s="15" t="s">
        <v>4</v>
      </c>
      <c r="J24" s="23" t="s">
        <v>4</v>
      </c>
      <c r="K24" s="15" t="s">
        <v>4</v>
      </c>
      <c r="L24" s="15" t="s">
        <v>4</v>
      </c>
      <c r="M24" s="15" t="s">
        <v>4</v>
      </c>
      <c r="N24" s="15" t="s">
        <v>5</v>
      </c>
      <c r="O24" s="15" t="s">
        <v>4</v>
      </c>
      <c r="P24" s="15" t="s">
        <v>4</v>
      </c>
      <c r="Q24" s="15" t="s">
        <v>4</v>
      </c>
      <c r="R24" s="15" t="s">
        <v>4</v>
      </c>
      <c r="S24" s="15" t="s">
        <v>4</v>
      </c>
      <c r="T24" s="15" t="s">
        <v>4</v>
      </c>
      <c r="U24" s="15" t="s">
        <v>4</v>
      </c>
      <c r="V24" s="15" t="s">
        <v>5</v>
      </c>
      <c r="W24" s="15" t="s">
        <v>5</v>
      </c>
      <c r="Y24" s="14"/>
      <c r="Z24" s="14"/>
      <c r="AA24" s="14"/>
      <c r="AB24" t="s">
        <v>32</v>
      </c>
      <c r="AC24" t="s">
        <v>32</v>
      </c>
    </row>
    <row r="25" spans="1:29" x14ac:dyDescent="0.25">
      <c r="A25">
        <v>4</v>
      </c>
      <c r="B25" s="15" t="s">
        <v>67</v>
      </c>
      <c r="C25" s="15" t="s">
        <v>4</v>
      </c>
      <c r="D25" s="15" t="s">
        <v>4</v>
      </c>
      <c r="E25" s="17" t="s">
        <v>4</v>
      </c>
      <c r="F25" s="15" t="s">
        <v>4</v>
      </c>
      <c r="G25" s="15" t="s">
        <v>43</v>
      </c>
      <c r="H25" s="15" t="s">
        <v>4</v>
      </c>
      <c r="I25" s="15" t="s">
        <v>4</v>
      </c>
      <c r="J25" s="23" t="s">
        <v>5</v>
      </c>
      <c r="K25" s="15" t="s">
        <v>4</v>
      </c>
      <c r="L25" s="15" t="s">
        <v>66</v>
      </c>
      <c r="M25" s="15" t="s">
        <v>5</v>
      </c>
      <c r="N25" s="15" t="s">
        <v>4</v>
      </c>
      <c r="O25" s="15" t="s">
        <v>5</v>
      </c>
      <c r="P25" s="15" t="s">
        <v>4</v>
      </c>
      <c r="Q25" s="15" t="s">
        <v>5</v>
      </c>
      <c r="R25" s="15" t="s">
        <v>5</v>
      </c>
      <c r="S25" s="15" t="s">
        <v>4</v>
      </c>
      <c r="T25" s="15" t="s">
        <v>4</v>
      </c>
      <c r="U25" s="15" t="s">
        <v>4</v>
      </c>
      <c r="V25" s="15" t="s">
        <v>5</v>
      </c>
      <c r="W25" s="15" t="s">
        <v>5</v>
      </c>
      <c r="Y25" s="14"/>
      <c r="Z25" s="14"/>
      <c r="AA25" s="14"/>
      <c r="AB25" t="s">
        <v>32</v>
      </c>
      <c r="AC25" t="s">
        <v>32</v>
      </c>
    </row>
    <row r="26" spans="1:29" x14ac:dyDescent="0.25">
      <c r="A26">
        <v>4</v>
      </c>
      <c r="B26" s="15" t="s">
        <v>22</v>
      </c>
      <c r="C26" s="15" t="s">
        <v>4</v>
      </c>
      <c r="D26" s="15" t="s">
        <v>4</v>
      </c>
      <c r="E26" s="15" t="s">
        <v>4</v>
      </c>
      <c r="F26" s="15" t="s">
        <v>4</v>
      </c>
      <c r="G26" s="15" t="s">
        <v>4</v>
      </c>
      <c r="H26" s="15" t="s">
        <v>4</v>
      </c>
      <c r="I26" s="15" t="s">
        <v>4</v>
      </c>
      <c r="J26" s="23" t="s">
        <v>4</v>
      </c>
      <c r="K26" s="15" t="s">
        <v>4</v>
      </c>
      <c r="L26" s="15" t="s">
        <v>4</v>
      </c>
      <c r="M26" s="15" t="s">
        <v>5</v>
      </c>
      <c r="N26" s="15" t="s">
        <v>5</v>
      </c>
      <c r="O26" s="15" t="s">
        <v>4</v>
      </c>
      <c r="P26" s="15" t="s">
        <v>5</v>
      </c>
      <c r="Q26" s="15" t="s">
        <v>4</v>
      </c>
      <c r="R26" s="15" t="s">
        <v>4</v>
      </c>
      <c r="S26" s="15" t="s">
        <v>5</v>
      </c>
      <c r="T26" s="15" t="s">
        <v>5</v>
      </c>
      <c r="U26" s="15" t="s">
        <v>41</v>
      </c>
      <c r="V26" s="15" t="s">
        <v>5</v>
      </c>
      <c r="W26" s="15" t="s">
        <v>5</v>
      </c>
      <c r="Y26" s="14"/>
      <c r="Z26" s="14"/>
      <c r="AA26" s="14"/>
    </row>
    <row r="27" spans="1:29" x14ac:dyDescent="0.25">
      <c r="A27">
        <v>4</v>
      </c>
      <c r="B27" s="15" t="s">
        <v>12</v>
      </c>
      <c r="C27" s="15" t="s">
        <v>4</v>
      </c>
      <c r="D27" s="15" t="s">
        <v>4</v>
      </c>
      <c r="E27" s="15" t="s">
        <v>4</v>
      </c>
      <c r="F27" s="15" t="s">
        <v>4</v>
      </c>
      <c r="G27" s="15" t="s">
        <v>4</v>
      </c>
      <c r="H27" s="15" t="s">
        <v>4</v>
      </c>
      <c r="I27" s="15" t="s">
        <v>4</v>
      </c>
      <c r="J27" s="23" t="s">
        <v>4</v>
      </c>
      <c r="K27" s="15" t="s">
        <v>4</v>
      </c>
      <c r="L27" s="15" t="s">
        <v>4</v>
      </c>
      <c r="M27" s="15" t="s">
        <v>4</v>
      </c>
      <c r="N27" s="15" t="s">
        <v>4</v>
      </c>
      <c r="O27" s="15" t="s">
        <v>4</v>
      </c>
      <c r="P27" s="15" t="s">
        <v>4</v>
      </c>
      <c r="Q27" s="15" t="s">
        <v>4</v>
      </c>
      <c r="R27" s="15" t="s">
        <v>4</v>
      </c>
      <c r="S27" s="15" t="s">
        <v>4</v>
      </c>
      <c r="T27" s="15" t="s">
        <v>4</v>
      </c>
      <c r="U27" s="15" t="s">
        <v>4</v>
      </c>
      <c r="V27" s="15" t="s">
        <v>5</v>
      </c>
      <c r="W27" s="15" t="s">
        <v>5</v>
      </c>
      <c r="Y27" s="14"/>
      <c r="Z27" s="14"/>
      <c r="AA27" s="14"/>
    </row>
    <row r="28" spans="1:29" x14ac:dyDescent="0.25">
      <c r="A28">
        <v>4</v>
      </c>
      <c r="B28" s="15" t="s">
        <v>34</v>
      </c>
      <c r="C28" s="15" t="s">
        <v>4</v>
      </c>
      <c r="D28" s="15" t="s">
        <v>4</v>
      </c>
      <c r="E28" s="17" t="s">
        <v>4</v>
      </c>
      <c r="F28" s="15" t="s">
        <v>4</v>
      </c>
      <c r="G28" s="15" t="s">
        <v>4</v>
      </c>
      <c r="H28" s="15" t="s">
        <v>4</v>
      </c>
      <c r="I28" s="15" t="s">
        <v>4</v>
      </c>
      <c r="J28" s="23" t="s">
        <v>4</v>
      </c>
      <c r="K28" s="15" t="s">
        <v>4</v>
      </c>
      <c r="L28" s="15" t="s">
        <v>5</v>
      </c>
      <c r="M28" s="15" t="s">
        <v>5</v>
      </c>
      <c r="N28" s="15" t="s">
        <v>4</v>
      </c>
      <c r="O28" s="15" t="s">
        <v>4</v>
      </c>
      <c r="P28" s="15" t="s">
        <v>5</v>
      </c>
      <c r="Q28" s="15" t="s">
        <v>5</v>
      </c>
      <c r="R28" s="15" t="s">
        <v>4</v>
      </c>
      <c r="S28" s="15" t="s">
        <v>4</v>
      </c>
      <c r="T28" s="15" t="s">
        <v>4</v>
      </c>
      <c r="U28" s="15" t="s">
        <v>4</v>
      </c>
      <c r="V28" s="15" t="s">
        <v>4</v>
      </c>
      <c r="W28" s="15" t="s">
        <v>4</v>
      </c>
      <c r="Y28" s="14"/>
      <c r="Z28" s="14"/>
      <c r="AA28" s="14"/>
      <c r="AB28" t="s">
        <v>62</v>
      </c>
      <c r="AC28" t="s">
        <v>32</v>
      </c>
    </row>
    <row r="29" spans="1:29" x14ac:dyDescent="0.25">
      <c r="A29">
        <v>4</v>
      </c>
      <c r="B29" s="15" t="s">
        <v>64</v>
      </c>
      <c r="C29" s="15" t="s">
        <v>4</v>
      </c>
      <c r="D29" s="15" t="s">
        <v>4</v>
      </c>
      <c r="E29" s="17" t="s">
        <v>4</v>
      </c>
      <c r="F29" s="15" t="s">
        <v>4</v>
      </c>
      <c r="G29" s="15" t="s">
        <v>4</v>
      </c>
      <c r="H29" s="15" t="s">
        <v>4</v>
      </c>
      <c r="I29" s="15" t="s">
        <v>4</v>
      </c>
      <c r="J29" s="23" t="s">
        <v>4</v>
      </c>
      <c r="K29" s="15" t="s">
        <v>4</v>
      </c>
      <c r="L29" s="15" t="s">
        <v>4</v>
      </c>
      <c r="M29" s="15" t="s">
        <v>4</v>
      </c>
      <c r="N29" s="15" t="s">
        <v>4</v>
      </c>
      <c r="O29" s="15" t="s">
        <v>4</v>
      </c>
      <c r="P29" s="15" t="s">
        <v>4</v>
      </c>
      <c r="Q29" s="15" t="s">
        <v>5</v>
      </c>
      <c r="R29" s="15" t="s">
        <v>63</v>
      </c>
      <c r="S29" s="15" t="s">
        <v>4</v>
      </c>
      <c r="T29" s="15" t="s">
        <v>4</v>
      </c>
      <c r="U29" s="15" t="s">
        <v>4</v>
      </c>
      <c r="V29" s="15" t="s">
        <v>5</v>
      </c>
      <c r="W29" s="15" t="s">
        <v>63</v>
      </c>
      <c r="Y29" s="14"/>
      <c r="Z29" s="14"/>
      <c r="AA29" s="14"/>
      <c r="AB29" t="s">
        <v>31</v>
      </c>
      <c r="AC29" t="s">
        <v>32</v>
      </c>
    </row>
    <row r="30" spans="1:29" x14ac:dyDescent="0.25">
      <c r="A30">
        <v>3</v>
      </c>
      <c r="B30" s="15" t="s">
        <v>13</v>
      </c>
      <c r="C30" s="15" t="s">
        <v>4</v>
      </c>
      <c r="D30" s="15" t="s">
        <v>4</v>
      </c>
      <c r="E30" s="17" t="s">
        <v>4</v>
      </c>
      <c r="F30" s="15" t="s">
        <v>4</v>
      </c>
      <c r="G30" s="15" t="s">
        <v>4</v>
      </c>
      <c r="H30" s="15" t="s">
        <v>4</v>
      </c>
      <c r="I30" s="15" t="s">
        <v>4</v>
      </c>
      <c r="J30" s="23" t="s">
        <v>4</v>
      </c>
      <c r="K30" s="15" t="s">
        <v>5</v>
      </c>
      <c r="L30" s="15" t="s">
        <v>4</v>
      </c>
      <c r="M30" s="15" t="s">
        <v>5</v>
      </c>
      <c r="N30" s="15" t="s">
        <v>4</v>
      </c>
      <c r="O30" s="15" t="s">
        <v>4</v>
      </c>
      <c r="P30" s="15" t="s">
        <v>4</v>
      </c>
      <c r="Q30" s="15" t="s">
        <v>4</v>
      </c>
      <c r="R30" s="15" t="s">
        <v>4</v>
      </c>
      <c r="S30" s="15" t="s">
        <v>4</v>
      </c>
      <c r="T30" s="15" t="s">
        <v>4</v>
      </c>
      <c r="U30" s="15" t="s">
        <v>4</v>
      </c>
      <c r="V30" s="15" t="s">
        <v>4</v>
      </c>
      <c r="W30" s="15" t="s">
        <v>5</v>
      </c>
      <c r="Y30" s="14"/>
      <c r="Z30" s="14"/>
      <c r="AA30" s="14"/>
      <c r="AB30" t="s">
        <v>32</v>
      </c>
      <c r="AC30" t="s">
        <v>32</v>
      </c>
    </row>
    <row r="31" spans="1:29" x14ac:dyDescent="0.25">
      <c r="A31">
        <v>3</v>
      </c>
      <c r="B31" s="15" t="s">
        <v>11</v>
      </c>
      <c r="C31" s="15" t="s">
        <v>4</v>
      </c>
      <c r="D31" s="15" t="s">
        <v>4</v>
      </c>
      <c r="E31" s="17" t="s">
        <v>4</v>
      </c>
      <c r="F31" s="15" t="s">
        <v>4</v>
      </c>
      <c r="G31" s="15" t="s">
        <v>4</v>
      </c>
      <c r="H31" s="15" t="s">
        <v>5</v>
      </c>
      <c r="I31" s="15" t="s">
        <v>4</v>
      </c>
      <c r="J31" s="23" t="s">
        <v>5</v>
      </c>
      <c r="K31" s="15" t="s">
        <v>4</v>
      </c>
      <c r="L31" s="15" t="s">
        <v>4</v>
      </c>
      <c r="M31" s="15" t="s">
        <v>5</v>
      </c>
      <c r="N31" s="15" t="s">
        <v>4</v>
      </c>
      <c r="O31" s="15" t="s">
        <v>4</v>
      </c>
      <c r="P31" s="15" t="s">
        <v>5</v>
      </c>
      <c r="Q31" s="15" t="s">
        <v>4</v>
      </c>
      <c r="R31" s="15" t="s">
        <v>63</v>
      </c>
      <c r="S31" s="15" t="s">
        <v>5</v>
      </c>
      <c r="T31" s="15" t="s">
        <v>5</v>
      </c>
      <c r="U31" s="15" t="s">
        <v>5</v>
      </c>
      <c r="V31" s="15" t="s">
        <v>5</v>
      </c>
      <c r="W31" s="15" t="s">
        <v>5</v>
      </c>
      <c r="Y31" s="14"/>
      <c r="Z31" s="14"/>
      <c r="AA31" s="14"/>
      <c r="AB31" t="s">
        <v>32</v>
      </c>
      <c r="AC31" t="s">
        <v>32</v>
      </c>
    </row>
    <row r="32" spans="1:29" x14ac:dyDescent="0.25">
      <c r="A32">
        <v>3</v>
      </c>
      <c r="B32" s="15" t="s">
        <v>102</v>
      </c>
      <c r="C32" s="15" t="s">
        <v>4</v>
      </c>
      <c r="D32" s="15" t="s">
        <v>70</v>
      </c>
      <c r="E32" s="17" t="s">
        <v>4</v>
      </c>
      <c r="F32" s="15" t="s">
        <v>5</v>
      </c>
      <c r="G32" s="15" t="s">
        <v>4</v>
      </c>
      <c r="H32" s="15" t="s">
        <v>5</v>
      </c>
      <c r="I32" s="15" t="s">
        <v>5</v>
      </c>
      <c r="J32" s="23" t="s">
        <v>5</v>
      </c>
      <c r="K32" s="15" t="s">
        <v>6</v>
      </c>
      <c r="L32" s="15" t="s">
        <v>5</v>
      </c>
      <c r="M32" s="15" t="s">
        <v>5</v>
      </c>
      <c r="N32" s="15" t="s">
        <v>5</v>
      </c>
      <c r="O32" s="15" t="s">
        <v>63</v>
      </c>
      <c r="P32" s="15" t="s">
        <v>5</v>
      </c>
      <c r="Q32" s="15" t="s">
        <v>5</v>
      </c>
      <c r="R32" s="15" t="s">
        <v>63</v>
      </c>
      <c r="S32" s="15" t="s">
        <v>5</v>
      </c>
      <c r="T32" s="15" t="s">
        <v>63</v>
      </c>
      <c r="U32" s="15" t="s">
        <v>5</v>
      </c>
      <c r="V32" s="15" t="s">
        <v>5</v>
      </c>
      <c r="W32" s="15" t="s">
        <v>5</v>
      </c>
      <c r="Y32" s="14"/>
      <c r="Z32" s="14"/>
      <c r="AA32" s="14"/>
      <c r="AB32" t="s">
        <v>31</v>
      </c>
      <c r="AC32" t="s">
        <v>72</v>
      </c>
    </row>
    <row r="33" spans="1:29" x14ac:dyDescent="0.25">
      <c r="A33">
        <v>3</v>
      </c>
      <c r="B33" s="15" t="s">
        <v>65</v>
      </c>
      <c r="C33" s="15" t="s">
        <v>5</v>
      </c>
      <c r="D33" s="15" t="s">
        <v>4</v>
      </c>
      <c r="E33" s="17" t="s">
        <v>59</v>
      </c>
      <c r="F33" s="15" t="s">
        <v>63</v>
      </c>
      <c r="G33" s="15" t="s">
        <v>4</v>
      </c>
      <c r="H33" s="15" t="s">
        <v>4</v>
      </c>
      <c r="I33" s="15" t="s">
        <v>63</v>
      </c>
      <c r="J33" s="23" t="s">
        <v>4</v>
      </c>
      <c r="K33" s="15" t="s">
        <v>5</v>
      </c>
      <c r="L33" s="15" t="s">
        <v>63</v>
      </c>
      <c r="M33" s="15" t="s">
        <v>4</v>
      </c>
      <c r="N33" s="15" t="s">
        <v>4</v>
      </c>
      <c r="O33" s="15" t="s">
        <v>63</v>
      </c>
      <c r="P33" s="15" t="s">
        <v>5</v>
      </c>
      <c r="Q33" s="15" t="s">
        <v>5</v>
      </c>
      <c r="R33" s="15" t="s">
        <v>63</v>
      </c>
      <c r="S33" s="15" t="s">
        <v>5</v>
      </c>
      <c r="T33" s="15" t="s">
        <v>5</v>
      </c>
      <c r="U33" s="15" t="s">
        <v>5</v>
      </c>
      <c r="V33" s="15" t="s">
        <v>5</v>
      </c>
      <c r="W33" s="15" t="s">
        <v>63</v>
      </c>
      <c r="Y33" s="14"/>
      <c r="Z33" s="14"/>
      <c r="AA33" s="14"/>
      <c r="AB33" t="s">
        <v>37</v>
      </c>
      <c r="AC33" t="s">
        <v>31</v>
      </c>
    </row>
    <row r="34" spans="1:29" x14ac:dyDescent="0.25">
      <c r="A34">
        <v>2</v>
      </c>
      <c r="B34" s="15" t="s">
        <v>35</v>
      </c>
      <c r="C34" s="15" t="s">
        <v>4</v>
      </c>
      <c r="D34" s="15" t="s">
        <v>4</v>
      </c>
      <c r="E34" s="17" t="s">
        <v>5</v>
      </c>
      <c r="F34" s="15" t="s">
        <v>4</v>
      </c>
      <c r="G34" s="15" t="s">
        <v>61</v>
      </c>
      <c r="H34" s="15" t="s">
        <v>5</v>
      </c>
      <c r="I34" s="15" t="s">
        <v>4</v>
      </c>
      <c r="J34" s="23" t="s">
        <v>5</v>
      </c>
      <c r="K34" s="15" t="s">
        <v>5</v>
      </c>
      <c r="L34" s="15" t="s">
        <v>5</v>
      </c>
      <c r="M34" s="15" t="s">
        <v>4</v>
      </c>
      <c r="N34" s="15" t="s">
        <v>63</v>
      </c>
      <c r="O34" s="15" t="s">
        <v>5</v>
      </c>
      <c r="P34" s="15" t="s">
        <v>4</v>
      </c>
      <c r="Q34" s="15" t="s">
        <v>5</v>
      </c>
      <c r="R34" s="15" t="s">
        <v>5</v>
      </c>
      <c r="S34" s="15" t="s">
        <v>5</v>
      </c>
      <c r="T34" s="15" t="s">
        <v>4</v>
      </c>
      <c r="U34" s="15" t="s">
        <v>4</v>
      </c>
      <c r="V34" s="15" t="s">
        <v>4</v>
      </c>
      <c r="W34" s="15" t="s">
        <v>4</v>
      </c>
      <c r="Y34" s="14"/>
      <c r="Z34" s="14"/>
      <c r="AA34" s="14"/>
      <c r="AB34" t="s">
        <v>37</v>
      </c>
      <c r="AC34" t="s">
        <v>31</v>
      </c>
    </row>
    <row r="35" spans="1:29" x14ac:dyDescent="0.25">
      <c r="A35">
        <v>2</v>
      </c>
      <c r="B35" s="15" t="s">
        <v>103</v>
      </c>
      <c r="C35" s="15" t="s">
        <v>4</v>
      </c>
      <c r="D35" s="15" t="s">
        <v>70</v>
      </c>
      <c r="E35" s="17" t="s">
        <v>4</v>
      </c>
      <c r="F35" s="15" t="s">
        <v>5</v>
      </c>
      <c r="G35" s="15" t="s">
        <v>4</v>
      </c>
      <c r="H35" s="15" t="s">
        <v>5</v>
      </c>
      <c r="I35" s="15" t="s">
        <v>5</v>
      </c>
      <c r="J35" s="23" t="s">
        <v>5</v>
      </c>
      <c r="K35" s="15" t="s">
        <v>6</v>
      </c>
      <c r="L35" s="15" t="s">
        <v>5</v>
      </c>
      <c r="M35" s="15" t="s">
        <v>5</v>
      </c>
      <c r="N35" s="15" t="s">
        <v>5</v>
      </c>
      <c r="O35" s="15" t="s">
        <v>63</v>
      </c>
      <c r="P35" s="15" t="s">
        <v>5</v>
      </c>
      <c r="Q35" s="15" t="s">
        <v>5</v>
      </c>
      <c r="R35" s="15" t="s">
        <v>63</v>
      </c>
      <c r="S35" s="15" t="s">
        <v>5</v>
      </c>
      <c r="T35" s="15" t="s">
        <v>63</v>
      </c>
      <c r="U35" s="15" t="s">
        <v>5</v>
      </c>
      <c r="V35" s="15" t="s">
        <v>5</v>
      </c>
      <c r="W35" s="15" t="s">
        <v>5</v>
      </c>
      <c r="Y35" s="14"/>
      <c r="Z35" s="14"/>
      <c r="AA35" s="14"/>
      <c r="AB35" t="s">
        <v>31</v>
      </c>
      <c r="AC35" t="s">
        <v>31</v>
      </c>
    </row>
    <row r="36" spans="1:29" x14ac:dyDescent="0.25">
      <c r="A36">
        <v>2</v>
      </c>
      <c r="B36" s="15" t="s">
        <v>104</v>
      </c>
      <c r="C36" s="15" t="s">
        <v>4</v>
      </c>
      <c r="D36" s="15" t="s">
        <v>5</v>
      </c>
      <c r="E36" s="17" t="s">
        <v>4</v>
      </c>
      <c r="F36" s="15" t="s">
        <v>4</v>
      </c>
      <c r="G36" s="15" t="s">
        <v>5</v>
      </c>
      <c r="H36" s="15" t="s">
        <v>4</v>
      </c>
      <c r="I36" s="15" t="s">
        <v>4</v>
      </c>
      <c r="J36" s="23" t="s">
        <v>5</v>
      </c>
      <c r="K36" s="15" t="s">
        <v>4</v>
      </c>
      <c r="L36" s="15" t="s">
        <v>5</v>
      </c>
      <c r="M36" s="15" t="s">
        <v>4</v>
      </c>
      <c r="N36" s="15" t="s">
        <v>5</v>
      </c>
      <c r="O36" s="15" t="s">
        <v>5</v>
      </c>
      <c r="P36" s="15" t="s">
        <v>4</v>
      </c>
      <c r="Q36" s="15" t="s">
        <v>5</v>
      </c>
      <c r="R36" s="15" t="s">
        <v>5</v>
      </c>
      <c r="S36" s="15" t="s">
        <v>4</v>
      </c>
      <c r="T36" s="15" t="s">
        <v>63</v>
      </c>
      <c r="U36" s="15" t="s">
        <v>4</v>
      </c>
      <c r="V36" s="15" t="s">
        <v>4</v>
      </c>
      <c r="W36" s="15" t="s">
        <v>4</v>
      </c>
      <c r="Y36" s="14"/>
      <c r="Z36" s="14"/>
      <c r="AA36" s="14"/>
      <c r="AB36" t="s">
        <v>31</v>
      </c>
      <c r="AC36" t="s">
        <v>31</v>
      </c>
    </row>
    <row r="37" spans="1:29" x14ac:dyDescent="0.25">
      <c r="A37">
        <v>2</v>
      </c>
      <c r="B37" s="16" t="s">
        <v>24</v>
      </c>
      <c r="C37" s="15" t="s">
        <v>5</v>
      </c>
      <c r="D37" s="15" t="s">
        <v>4</v>
      </c>
      <c r="E37" s="26" t="s">
        <v>5</v>
      </c>
      <c r="F37" s="15" t="s">
        <v>4</v>
      </c>
      <c r="G37" s="15" t="s">
        <v>4</v>
      </c>
      <c r="H37" s="18"/>
      <c r="I37" s="18" t="s">
        <v>5</v>
      </c>
      <c r="J37" s="23" t="s">
        <v>5</v>
      </c>
      <c r="K37" s="15" t="s">
        <v>4</v>
      </c>
      <c r="L37" s="15" t="s">
        <v>4</v>
      </c>
      <c r="M37" s="15" t="s">
        <v>4</v>
      </c>
      <c r="N37" s="15" t="s">
        <v>4</v>
      </c>
      <c r="O37" s="15" t="s">
        <v>4</v>
      </c>
      <c r="P37" s="15" t="s">
        <v>4</v>
      </c>
      <c r="Q37" s="15" t="s">
        <v>4</v>
      </c>
      <c r="R37" s="15" t="s">
        <v>4</v>
      </c>
      <c r="S37" s="15" t="s">
        <v>4</v>
      </c>
      <c r="T37" s="15" t="s">
        <v>4</v>
      </c>
      <c r="U37" s="18" t="s">
        <v>5</v>
      </c>
      <c r="V37" s="15" t="s">
        <v>4</v>
      </c>
      <c r="W37" s="15" t="s">
        <v>4</v>
      </c>
      <c r="Y37" s="14"/>
      <c r="Z37" s="14"/>
      <c r="AA37" s="14"/>
      <c r="AB37" t="s">
        <v>37</v>
      </c>
      <c r="AC37" t="s">
        <v>31</v>
      </c>
    </row>
    <row r="38" spans="1:29" x14ac:dyDescent="0.25">
      <c r="A38">
        <v>1</v>
      </c>
      <c r="B38" s="15" t="s">
        <v>20</v>
      </c>
      <c r="C38" s="15" t="s">
        <v>4</v>
      </c>
      <c r="D38" s="15" t="s">
        <v>69</v>
      </c>
      <c r="E38" s="15" t="s">
        <v>4</v>
      </c>
      <c r="F38" s="15" t="s">
        <v>5</v>
      </c>
      <c r="G38" s="15" t="s">
        <v>4</v>
      </c>
      <c r="H38" s="15" t="s">
        <v>5</v>
      </c>
      <c r="I38" s="15" t="s">
        <v>63</v>
      </c>
      <c r="J38" s="23" t="s">
        <v>4</v>
      </c>
      <c r="K38" s="15" t="s">
        <v>5</v>
      </c>
      <c r="L38" s="15" t="s">
        <v>5</v>
      </c>
      <c r="M38" s="15" t="s">
        <v>4</v>
      </c>
      <c r="N38" s="15" t="s">
        <v>5</v>
      </c>
      <c r="O38" s="15" t="s">
        <v>63</v>
      </c>
      <c r="P38" s="15" t="s">
        <v>5</v>
      </c>
      <c r="Q38" s="15" t="s">
        <v>5</v>
      </c>
      <c r="R38" s="15" t="s">
        <v>63</v>
      </c>
      <c r="S38" s="15" t="s">
        <v>5</v>
      </c>
      <c r="T38" s="15" t="s">
        <v>5</v>
      </c>
      <c r="U38" s="15" t="s">
        <v>63</v>
      </c>
      <c r="V38" s="15" t="s">
        <v>5</v>
      </c>
      <c r="W38" s="15" t="s">
        <v>5</v>
      </c>
      <c r="Y38" s="14"/>
      <c r="Z38" s="14"/>
      <c r="AA38" s="14"/>
      <c r="AB38" t="s">
        <v>33</v>
      </c>
      <c r="AC38" t="s">
        <v>33</v>
      </c>
    </row>
    <row r="39" spans="1:29" x14ac:dyDescent="0.25">
      <c r="A39">
        <v>1</v>
      </c>
      <c r="B39" s="15" t="s">
        <v>44</v>
      </c>
      <c r="C39" s="15" t="s">
        <v>5</v>
      </c>
      <c r="D39" s="15" t="s">
        <v>4</v>
      </c>
      <c r="E39" s="17" t="s">
        <v>5</v>
      </c>
      <c r="F39" s="15" t="s">
        <v>4</v>
      </c>
      <c r="G39" s="15" t="s">
        <v>4</v>
      </c>
      <c r="H39" s="15" t="s">
        <v>5</v>
      </c>
      <c r="I39" s="15" t="s">
        <v>5</v>
      </c>
      <c r="J39" s="23" t="s">
        <v>5</v>
      </c>
      <c r="K39" s="15" t="s">
        <v>5</v>
      </c>
      <c r="L39" s="15" t="s">
        <v>5</v>
      </c>
      <c r="M39" s="15" t="s">
        <v>4</v>
      </c>
      <c r="N39" s="15" t="s">
        <v>4</v>
      </c>
      <c r="O39" s="15" t="s">
        <v>5</v>
      </c>
      <c r="P39" s="15" t="s">
        <v>4</v>
      </c>
      <c r="Q39" s="15" t="s">
        <v>4</v>
      </c>
      <c r="R39" s="15" t="s">
        <v>5</v>
      </c>
      <c r="S39" s="15" t="s">
        <v>5</v>
      </c>
      <c r="T39" s="15" t="s">
        <v>5</v>
      </c>
      <c r="U39" s="15" t="s">
        <v>5</v>
      </c>
      <c r="V39" s="15" t="s">
        <v>4</v>
      </c>
      <c r="W39" s="15" t="s">
        <v>4</v>
      </c>
      <c r="Y39" s="14"/>
      <c r="Z39" s="14"/>
      <c r="AA39" s="14"/>
      <c r="AB39" s="11" t="s">
        <v>73</v>
      </c>
      <c r="AC39" s="11" t="s">
        <v>73</v>
      </c>
    </row>
    <row r="40" spans="1:29" x14ac:dyDescent="0.25">
      <c r="A40">
        <v>1</v>
      </c>
      <c r="B40" s="15" t="s">
        <v>45</v>
      </c>
      <c r="C40" s="15" t="s">
        <v>5</v>
      </c>
      <c r="D40" s="15" t="s">
        <v>4</v>
      </c>
      <c r="E40" s="17" t="s">
        <v>5</v>
      </c>
      <c r="F40" s="15" t="s">
        <v>4</v>
      </c>
      <c r="G40" s="15" t="s">
        <v>5</v>
      </c>
      <c r="H40" s="15" t="s">
        <v>5</v>
      </c>
      <c r="I40" s="15" t="s">
        <v>5</v>
      </c>
      <c r="J40" s="23" t="s">
        <v>5</v>
      </c>
      <c r="K40" s="15" t="s">
        <v>5</v>
      </c>
      <c r="L40" s="15" t="s">
        <v>5</v>
      </c>
      <c r="M40" s="15" t="s">
        <v>5</v>
      </c>
      <c r="N40" s="15" t="s">
        <v>4</v>
      </c>
      <c r="O40" s="15" t="s">
        <v>5</v>
      </c>
      <c r="P40" s="15" t="s">
        <v>4</v>
      </c>
      <c r="Q40" s="15" t="s">
        <v>4</v>
      </c>
      <c r="R40" s="15" t="s">
        <v>5</v>
      </c>
      <c r="S40" s="15" t="s">
        <v>5</v>
      </c>
      <c r="T40" s="15" t="s">
        <v>5</v>
      </c>
      <c r="U40" s="15" t="s">
        <v>5</v>
      </c>
      <c r="V40" s="15" t="s">
        <v>5</v>
      </c>
      <c r="W40" s="15" t="s">
        <v>4</v>
      </c>
      <c r="Y40" s="14"/>
      <c r="Z40" s="14"/>
      <c r="AA40" s="14"/>
      <c r="AB40" s="11" t="s">
        <v>73</v>
      </c>
      <c r="AC40" s="11" t="s">
        <v>73</v>
      </c>
    </row>
    <row r="41" spans="1:29" x14ac:dyDescent="0.25">
      <c r="A41">
        <v>1</v>
      </c>
      <c r="B41" s="23" t="s">
        <v>105</v>
      </c>
      <c r="C41" s="15" t="s">
        <v>5</v>
      </c>
      <c r="D41" s="15" t="s">
        <v>5</v>
      </c>
      <c r="E41" s="15" t="s">
        <v>5</v>
      </c>
      <c r="F41" s="15" t="s">
        <v>5</v>
      </c>
      <c r="G41" s="15" t="s">
        <v>5</v>
      </c>
      <c r="H41" s="15" t="s">
        <v>5</v>
      </c>
      <c r="I41" s="15" t="s">
        <v>5</v>
      </c>
      <c r="J41" s="23" t="s">
        <v>5</v>
      </c>
      <c r="K41" s="15" t="s">
        <v>4</v>
      </c>
      <c r="L41" s="15" t="s">
        <v>5</v>
      </c>
      <c r="M41" s="15" t="s">
        <v>4</v>
      </c>
      <c r="N41" s="15" t="s">
        <v>5</v>
      </c>
      <c r="O41" s="15" t="s">
        <v>4</v>
      </c>
      <c r="P41" s="15" t="s">
        <v>5</v>
      </c>
      <c r="Q41" s="15" t="s">
        <v>5</v>
      </c>
      <c r="R41" s="15" t="s">
        <v>4</v>
      </c>
      <c r="S41" s="15" t="s">
        <v>4</v>
      </c>
      <c r="T41" s="15" t="s">
        <v>5</v>
      </c>
      <c r="U41" s="15" t="s">
        <v>5</v>
      </c>
      <c r="V41" s="15" t="s">
        <v>5</v>
      </c>
      <c r="W41" s="15" t="s">
        <v>5</v>
      </c>
      <c r="Y41" s="14"/>
      <c r="Z41" s="14"/>
      <c r="AA41" s="14"/>
      <c r="AB41" s="11"/>
      <c r="AC41" s="11"/>
    </row>
    <row r="42" spans="1:29" x14ac:dyDescent="0.25">
      <c r="A42">
        <f>SUM(A15:A41)</f>
        <v>94</v>
      </c>
      <c r="B42" s="11"/>
      <c r="C42" s="14"/>
      <c r="D42" s="14"/>
      <c r="E42" s="14"/>
      <c r="F42" s="14"/>
      <c r="G42" s="14"/>
      <c r="H42" s="14"/>
      <c r="I42" s="14"/>
      <c r="J42" s="1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Y42" s="14"/>
      <c r="Z42" s="14"/>
      <c r="AA42" s="14"/>
      <c r="AB42" s="11"/>
      <c r="AC42" s="11"/>
    </row>
    <row r="43" spans="1:29" x14ac:dyDescent="0.25">
      <c r="B43" s="11" t="s">
        <v>99</v>
      </c>
      <c r="C43" s="14">
        <f>(COUNTIF(C15:C15,"Yes")*$A15)+(COUNTIF(C16:C16,"Yes")*$A16)+(COUNTIF(C17:C17,"Yes")*$A17)+(COUNTIF(C18:C18,"Yes")*$A18)+(COUNTIF(C19:C19,"Yes")*$A19)+(COUNTIF(C20:C20,"Yes")*$A20)+(COUNTIF(C21:C21,"Yes")*$A21)+(COUNTIF(C22:C22,"Yes")*$A22)+(COUNTIF(C23:C23,"Yes")*$A23)+(COUNTIF(C24:C24,"Yes")*$A24)+(COUNTIF(C25:C25,"Yes")*$A25)+(COUNTIF(C26:C26,"Yes")*$A26)+(COUNTIF(C27:C27,"Yes")*$A27)+(COUNTIF(C28:C28,"Yes")*$A28)+(COUNTIF(C29:C29,"Yes")*$A29)+(COUNTIF(C30:C30,"Yes")*$A30)+(COUNTIF(C31:C31,"Yes")*$A31)+(COUNTIF(C32:C32,"Yes")*$A32)+(COUNTIF(C33:C33,"Yes")*$A33)+(COUNTIF(C34:C34,"Yes")*$A34)+(COUNTIF(C35:C35,"Yes")*$A35)+(COUNTIF(C36:C36,"Yes")*$A36)+(COUNTIF(C37:C37,"Yes")*$A37)+(COUNTIF(C38:C38,"Yes")*$A38)+(COUNTIF(C39:C39,"Yes")*$A39)+(COUNTIF(C40:C40,"Yes")*$A40)+(COUNTIF(C42:C42,"Yes")*$A42)+(COUNTIF(C42:C42,"Yes")*$A42)</f>
        <v>86</v>
      </c>
      <c r="D43" s="14">
        <f>(COUNTIF(D15:D15,"Yes")*$A15)+(COUNTIF(D16:D16,"Yes")*$A16)+(COUNTIF(D17:D17,"Yes")*$A17)+(COUNTIF(D18:D18,"Yes")*$A18)+(COUNTIF(D19:D19,"Yes")*$A19)+(COUNTIF(D20:D20,"Yes")*$A20)+(COUNTIF(D21:D21,"Yes")*$A21)+(COUNTIF(D22:D22,"Yes")*$A22)+(COUNTIF(D23:D23,"Yes")*$A23)+(COUNTIF(D24:D24,"Yes")*$A24)+(COUNTIF(D25:D25,"Yes")*$A25)+(COUNTIF(D26:D26,"Yes")*$A26)+(COUNTIF(D27:D27,"Yes")*$A27)+(COUNTIF(D28:D28,"Yes")*$A28)+(COUNTIF(D29:D29,"Yes")*$A29)+(COUNTIF(D30:D30,"Yes")*$A30)+(COUNTIF(D31:D31,"Yes")*$A31)+(COUNTIF(D32:D32,"Yes")*$A32)+(COUNTIF(D33:D33,"Yes")*$A33)+(COUNTIF(D34:D34,"Yes")*$A34)+(COUNTIF(D35:D35,"Yes")*$A35)+(COUNTIF(D36:D36,"Yes")*$A36)+(COUNTIF(D37:D37,"Yes")*$A37)+(COUNTIF(D38:D38,"Yes")*$A38)+(COUNTIF(D39:D39,"Yes")*$A39)+(COUNTIF(D40:D40,"Yes")*$A40)+(COUNTIF(D42:D42,"Yes")*$A42)+(COUNTIF(D42:D42,"Yes")*$A42)</f>
        <v>85</v>
      </c>
      <c r="E43" s="14">
        <f>(COUNTIF(E15:E15,"Yes")*$A15)+(COUNTIF(E16:E16,"Yes")*$A16)+(COUNTIF(E17:E17,"Yes")*$A17)+(COUNTIF(E18:E18,"Yes")*$A18)+(COUNTIF(E19:E19,"Yes")*$A19)+(COUNTIF(E20:E20,"Yes")*$A20)+(COUNTIF(E21:E21,"Yes")*$A21)+(COUNTIF(E22:E22,"Yes")*$A22)+(COUNTIF(E23:E23,"Yes")*$A23)+(COUNTIF(E24:E24,"Yes")*$A24)+(COUNTIF(E25:E25,"Yes")*$A25)+(COUNTIF(E26:E26,"Yes")*$A26)+(COUNTIF(E27:E27,"Yes")*$A27)+(COUNTIF(E28:E28,"Yes")*$A28)+(COUNTIF(E29:E29,"Yes")*$A29)+(COUNTIF(E30:E30,"Yes")*$A30)+(COUNTIF(E31:E31,"Yes")*$A31)+(COUNTIF(E32:E32,"Yes")*$A32)+(COUNTIF(E33:E33,"Yes")*$A33)+(COUNTIF(E34:E34,"Yes")*$A34)+(COUNTIF(E35:E35,"Yes")*$A35)+(COUNTIF(E36:E36,"Yes")*$A36)+(COUNTIF(E37:E37,"Yes")*$A37)+(COUNTIF(E38:E38,"Yes")*$A38)+(COUNTIF(E39:E39,"Yes")*$A39)+(COUNTIF(E40:E40,"Yes")*$A40)+(COUNTIF(E42:E42,"Yes")*$A42)+(COUNTIF(E42:E42,"Yes")*$A42)</f>
        <v>84</v>
      </c>
      <c r="F43" s="14">
        <f>(COUNTIF(F15:F15,"Yes")*$A15)+(COUNTIF(F16:F16,"Yes")*$A16)+(COUNTIF(F17:F17,"Yes")*$A17)+(COUNTIF(F18:F18,"Yes")*$A18)+(COUNTIF(F19:F19,"Yes")*$A19)+(COUNTIF(F20:F20,"Yes")*$A20)+(COUNTIF(F21:F21,"Yes")*$A21)+(COUNTIF(F22:F22,"Yes")*$A22)+(COUNTIF(F23:F23,"Yes")*$A23)+(COUNTIF(F24:F24,"Yes")*$A24)+(COUNTIF(F25:F25,"Yes")*$A25)+(COUNTIF(F26:F26,"Yes")*$A26)+(COUNTIF(F27:F27,"Yes")*$A27)+(COUNTIF(F28:F28,"Yes")*$A28)+(COUNTIF(F29:F29,"Yes")*$A29)+(COUNTIF(F30:F30,"Yes")*$A30)+(COUNTIF(F31:F31,"Yes")*$A31)+(COUNTIF(F32:F32,"Yes")*$A32)+(COUNTIF(F33:F33,"Yes")*$A33)+(COUNTIF(F34:F34,"Yes")*$A34)+(COUNTIF(F35:F35,"Yes")*$A35)+(COUNTIF(F36:F36,"Yes")*$A36)+(COUNTIF(F37:F37,"Yes")*$A37)+(COUNTIF(F38:F38,"Yes")*$A38)+(COUNTIF(F39:F39,"Yes")*$A39)+(COUNTIF(F40:F40,"Yes")*$A40)+(COUNTIF(F42:F42,"Yes")*$A42)+(COUNTIF(F42:F42,"Yes")*$A42)</f>
        <v>79</v>
      </c>
      <c r="G43" s="14">
        <f>(COUNTIF(G15:G15,"Yes")*$A15)+(COUNTIF(G16:G16,"Yes")*$A16)+(COUNTIF(G17:G17,"Yes")*$A17)+(COUNTIF(G18:G18,"Yes")*$A18)+(COUNTIF(G19:G19,"Yes")*$A19)+(COUNTIF(G20:G20,"Yes")*$A20)+(COUNTIF(G21:G21,"Yes")*$A21)+(COUNTIF(G22:G22,"Yes")*$A22)+(COUNTIF(G23:G23,"Yes")*$A23)+(COUNTIF(G24:G24,"Yes")*$A24)+(COUNTIF(G25:G25,"Yes")*$A25)+(COUNTIF(G26:G26,"Yes")*$A26)+(COUNTIF(G27:G27,"Yes")*$A27)+(COUNTIF(G28:G28,"Yes")*$A28)+(COUNTIF(G29:G29,"Yes")*$A29)+(COUNTIF(G30:G30,"Yes")*$A30)+(COUNTIF(G31:G31,"Yes")*$A31)+(COUNTIF(G32:G32,"Yes")*$A32)+(COUNTIF(G33:G33,"Yes")*$A33)+(COUNTIF(G34:G34,"Yes")*$A34)+(COUNTIF(G35:G35,"Yes")*$A35)+(COUNTIF(G36:G36,"Yes")*$A36)+(COUNTIF(G37:G37,"Yes")*$A37)+(COUNTIF(G38:G38,"Yes")*$A38)+(COUNTIF(G39:G39,"Yes")*$A39)+(COUNTIF(G40:G40,"Yes")*$A40)+(COUNTIF(G42:G42,"Yes")*$A42)+(COUNTIF(G42:G42,"Yes")*$A42)</f>
        <v>79</v>
      </c>
      <c r="H43" s="14">
        <f>(COUNTIF(H15:H15,"Yes")*$A15)+(COUNTIF(H16:H16,"Yes")*$A16)+(COUNTIF(H17:H17,"Yes")*$A17)+(COUNTIF(H18:H18,"Yes")*$A18)+(COUNTIF(H19:H19,"Yes")*$A19)+(COUNTIF(H20:H20,"Yes")*$A20)+(COUNTIF(H21:H21,"Yes")*$A21)+(COUNTIF(H22:H22,"Yes")*$A22)+(COUNTIF(H23:H23,"Yes")*$A23)+(COUNTIF(H24:H24,"Yes")*$A24)+(COUNTIF(H25:H25,"Yes")*$A25)+(COUNTIF(H26:H26,"Yes")*$A26)+(COUNTIF(H27:H27,"Yes")*$A27)+(COUNTIF(H28:H28,"Yes")*$A28)+(COUNTIF(H29:H29,"Yes")*$A29)+(COUNTIF(H30:H30,"Yes")*$A30)+(COUNTIF(H31:H31,"Yes")*$A31)+(COUNTIF(H32:H32,"Yes")*$A32)+(COUNTIF(H33:H33,"Yes")*$A33)+(COUNTIF(H34:H34,"Yes")*$A34)+(COUNTIF(H35:H35,"Yes")*$A35)+(COUNTIF(H36:H36,"Yes")*$A36)+(COUNTIF(H37:H37,"Yes")*$A37)+(COUNTIF(H38:H38,"Yes")*$A38)+(COUNTIF(H39:H39,"Yes")*$A39)+(COUNTIF(H40:H40,"Yes")*$A40)+(COUNTIF(H42:H42,"Yes")*$A42)+(COUNTIF(H42:H42,"Yes")*$A42)</f>
        <v>78</v>
      </c>
      <c r="I43" s="14">
        <f>(COUNTIF(I15:I15,"Yes")*$A15)+(COUNTIF(I16:I16,"Yes")*$A16)+(COUNTIF(I17:I17,"Yes")*$A17)+(COUNTIF(I18:I18,"Yes")*$A18)+(COUNTIF(I19:I19,"Yes")*$A19)+(COUNTIF(I20:I20,"Yes")*$A20)+(COUNTIF(I21:I21,"Yes")*$A21)+(COUNTIF(I22:I22,"Yes")*$A22)+(COUNTIF(I23:I23,"Yes")*$A23)+(COUNTIF(I24:I24,"Yes")*$A24)+(COUNTIF(I25:I25,"Yes")*$A25)+(COUNTIF(I26:I26,"Yes")*$A26)+(COUNTIF(I27:I27,"Yes")*$A27)+(COUNTIF(I28:I28,"Yes")*$A28)+(COUNTIF(I29:I29,"Yes")*$A29)+(COUNTIF(I30:I30,"Yes")*$A30)+(COUNTIF(I31:I31,"Yes")*$A31)+(COUNTIF(I32:I32,"Yes")*$A32)+(COUNTIF(I33:I33,"Yes")*$A33)+(COUNTIF(I34:I34,"Yes")*$A34)+(COUNTIF(I35:I35,"Yes")*$A35)+(COUNTIF(I36:I36,"Yes")*$A36)+(COUNTIF(I37:I37,"Yes")*$A37)+(COUNTIF(I38:I38,"Yes")*$A38)+(COUNTIF(I39:I39,"Yes")*$A39)+(COUNTIF(I40:I40,"Yes")*$A40)+(COUNTIF(I42:I42,"Yes")*$A42)+(COUNTIF(I42:I42,"Yes")*$A42)</f>
        <v>75</v>
      </c>
      <c r="J43" s="14">
        <f>(COUNTIF(J15:J15,"Yes")*$A15)+(COUNTIF(J16:J16,"Yes")*$A16)+(COUNTIF(J17:J17,"Yes")*$A17)+(COUNTIF(J18:J18,"Yes")*$A18)+(COUNTIF(J19:J19,"Yes")*$A19)+(COUNTIF(J20:J20,"Yes")*$A20)+(COUNTIF(J21:J21,"Yes")*$A21)+(COUNTIF(J22:J22,"Yes")*$A22)+(COUNTIF(J23:J23,"Yes")*$A23)+(COUNTIF(J24:J24,"Yes")*$A24)+(COUNTIF(J25:J25,"Yes")*$A25)+(COUNTIF(J26:J26,"Yes")*$A26)+(COUNTIF(J27:J27,"Yes")*$A27)+(COUNTIF(J28:J28,"Yes")*$A28)+(COUNTIF(J29:J29,"Yes")*$A29)+(COUNTIF(J30:J30,"Yes")*$A30)+(COUNTIF(J31:J31,"Yes")*$A31)+(COUNTIF(J32:J32,"Yes")*$A32)+(COUNTIF(J33:J33,"Yes")*$A33)+(COUNTIF(J34:J34,"Yes")*$A34)+(COUNTIF(J35:J35,"Yes")*$A35)+(COUNTIF(J36:J36,"Yes")*$A36)+(COUNTIF(J37:J37,"Yes")*$A37)+(COUNTIF(J38:J38,"Yes")*$A38)+(COUNTIF(J39:J39,"Yes")*$A39)+(COUNTIF(J40:J40,"Yes")*$A40)+(COUNTIF(J42:J42,"Yes")*$A42)+(COUNTIF(J42:J42,"Yes")*$A42)</f>
        <v>73</v>
      </c>
      <c r="K43" s="14">
        <f>(COUNTIF(K15:K15,"Yes")*$A15)+(COUNTIF(K16:K16,"Yes")*$A16)+(COUNTIF(K17:K17,"Yes")*$A17)+(COUNTIF(K18:K18,"Yes")*$A18)+(COUNTIF(K19:K19,"Yes")*$A19)+(COUNTIF(K20:K20,"Yes")*$A20)+(COUNTIF(K21:K21,"Yes")*$A21)+(COUNTIF(K22:K22,"Yes")*$A22)+(COUNTIF(K23:K23,"Yes")*$A23)+(COUNTIF(K24:K24,"Yes")*$A24)+(COUNTIF(K25:K25,"Yes")*$A25)+(COUNTIF(K26:K26,"Yes")*$A26)+(COUNTIF(K27:K27,"Yes")*$A27)+(COUNTIF(K28:K28,"Yes")*$A28)+(COUNTIF(K29:K29,"Yes")*$A29)+(COUNTIF(K30:K30,"Yes")*$A30)+(COUNTIF(K31:K31,"Yes")*$A31)+(COUNTIF(K32:K32,"Yes")*$A32)+(COUNTIF(K33:K33,"Yes")*$A33)+(COUNTIF(K34:K34,"Yes")*$A34)+(COUNTIF(K35:K35,"Yes")*$A35)+(COUNTIF(K36:K36,"Yes")*$A36)+(COUNTIF(K37:K37,"Yes")*$A37)+(COUNTIF(K38:K38,"Yes")*$A38)+(COUNTIF(K39:K39,"Yes")*$A39)+(COUNTIF(K40:K40,"Yes")*$A40)+(COUNTIF(K42:K42,"Yes")*$A42)+(COUNTIF(K42:K42,"Yes")*$A42)</f>
        <v>72</v>
      </c>
      <c r="L43" s="14">
        <f>(COUNTIF(L15:L15,"Yes")*$A15)+(COUNTIF(L16:L16,"Yes")*$A16)+(COUNTIF(L17:L17,"Yes")*$A17)+(COUNTIF(L18:L18,"Yes")*$A18)+(COUNTIF(L19:L19,"Yes")*$A19)+(COUNTIF(L20:L20,"Yes")*$A20)+(COUNTIF(L21:L21,"Yes")*$A21)+(COUNTIF(L22:L22,"Yes")*$A22)+(COUNTIF(L23:L23,"Yes")*$A23)+(COUNTIF(L24:L24,"Yes")*$A24)+(COUNTIF(L25:L25,"Yes")*$A25)+(COUNTIF(L26:L26,"Yes")*$A26)+(COUNTIF(L27:L27,"Yes")*$A27)+(COUNTIF(L28:L28,"Yes")*$A28)+(COUNTIF(L29:L29,"Yes")*$A29)+(COUNTIF(L30:L30,"Yes")*$A30)+(COUNTIF(L31:L31,"Yes")*$A31)+(COUNTIF(L32:L32,"Yes")*$A32)+(COUNTIF(L33:L33,"Yes")*$A33)+(COUNTIF(L34:L34,"Yes")*$A34)+(COUNTIF(L35:L35,"Yes")*$A35)+(COUNTIF(L36:L36,"Yes")*$A36)+(COUNTIF(L37:L37,"Yes")*$A37)+(COUNTIF(L38:L38,"Yes")*$A38)+(COUNTIF(L39:L39,"Yes")*$A39)+(COUNTIF(L40:L40,"Yes")*$A40)+(COUNTIF(L42:L42,"Yes")*$A42)+(COUNTIF(L42:L42,"Yes")*$A42)</f>
        <v>65</v>
      </c>
      <c r="M43" s="14">
        <f>(COUNTIF(M15:M15,"Yes")*$A15)+(COUNTIF(M16:M16,"Yes")*$A16)+(COUNTIF(M17:M17,"Yes")*$A17)+(COUNTIF(M18:M18,"Yes")*$A18)+(COUNTIF(M19:M19,"Yes")*$A19)+(COUNTIF(M20:M20,"Yes")*$A20)+(COUNTIF(M21:M21,"Yes")*$A21)+(COUNTIF(M22:M22,"Yes")*$A22)+(COUNTIF(M23:M23,"Yes")*$A23)+(COUNTIF(M24:M24,"Yes")*$A24)+(COUNTIF(M25:M25,"Yes")*$A25)+(COUNTIF(M26:M26,"Yes")*$A26)+(COUNTIF(M27:M27,"Yes")*$A27)+(COUNTIF(M28:M28,"Yes")*$A28)+(COUNTIF(M29:M29,"Yes")*$A29)+(COUNTIF(M30:M30,"Yes")*$A30)+(COUNTIF(M31:M31,"Yes")*$A31)+(COUNTIF(M32:M32,"Yes")*$A32)+(COUNTIF(M33:M33,"Yes")*$A33)+(COUNTIF(M34:M34,"Yes")*$A34)+(COUNTIF(M35:M35,"Yes")*$A35)+(COUNTIF(M36:M36,"Yes")*$A36)+(COUNTIF(M37:M37,"Yes")*$A37)+(COUNTIF(M38:M38,"Yes")*$A38)+(COUNTIF(M39:M39,"Yes")*$A39)+(COUNTIF(M40:M40,"Yes")*$A40)+(COUNTIF(M42:M42,"Yes")*$A42)+(COUNTIF(M42:M42,"Yes")*$A42)</f>
        <v>64</v>
      </c>
      <c r="N43" s="14">
        <f>(COUNTIF(N15:N15,"Yes")*$A15)+(COUNTIF(N16:N16,"Yes")*$A16)+(COUNTIF(N17:N17,"Yes")*$A17)+(COUNTIF(N18:N18,"Yes")*$A18)+(COUNTIF(N19:N19,"Yes")*$A19)+(COUNTIF(N20:N20,"Yes")*$A20)+(COUNTIF(N21:N21,"Yes")*$A21)+(COUNTIF(N22:N22,"Yes")*$A22)+(COUNTIF(N23:N23,"Yes")*$A23)+(COUNTIF(N24:N24,"Yes")*$A24)+(COUNTIF(N25:N25,"Yes")*$A25)+(COUNTIF(N26:N26,"Yes")*$A26)+(COUNTIF(N27:N27,"Yes")*$A27)+(COUNTIF(N28:N28,"Yes")*$A28)+(COUNTIF(N29:N29,"Yes")*$A29)+(COUNTIF(N30:N30,"Yes")*$A30)+(COUNTIF(N31:N31,"Yes")*$A31)+(COUNTIF(N32:N32,"Yes")*$A32)+(COUNTIF(N33:N33,"Yes")*$A33)+(COUNTIF(N34:N34,"Yes")*$A34)+(COUNTIF(N35:N35,"Yes")*$A35)+(COUNTIF(N36:N36,"Yes")*$A36)+(COUNTIF(N37:N37,"Yes")*$A37)+(COUNTIF(N38:N38,"Yes")*$A38)+(COUNTIF(N39:N39,"Yes")*$A39)+(COUNTIF(N40:N40,"Yes")*$A40)+(COUNTIF(N42:N42,"Yes")*$A42)+(COUNTIF(N42:N42,"Yes")*$A42)</f>
        <v>64</v>
      </c>
      <c r="O43" s="14">
        <f>(COUNTIF(O15:O15,"Yes")*$A15)+(COUNTIF(O16:O16,"Yes")*$A16)+(COUNTIF(O17:O17,"Yes")*$A17)+(COUNTIF(O18:O18,"Yes")*$A18)+(COUNTIF(O19:O19,"Yes")*$A19)+(COUNTIF(O20:O20,"Yes")*$A20)+(COUNTIF(O21:O21,"Yes")*$A21)+(COUNTIF(O22:O22,"Yes")*$A22)+(COUNTIF(O23:O23,"Yes")*$A23)+(COUNTIF(O24:O24,"Yes")*$A24)+(COUNTIF(O25:O25,"Yes")*$A25)+(COUNTIF(O26:O26,"Yes")*$A26)+(COUNTIF(O27:O27,"Yes")*$A27)+(COUNTIF(O28:O28,"Yes")*$A28)+(COUNTIF(O29:O29,"Yes")*$A29)+(COUNTIF(O30:O30,"Yes")*$A30)+(COUNTIF(O31:O31,"Yes")*$A31)+(COUNTIF(O32:O32,"Yes")*$A32)+(COUNTIF(O33:O33,"Yes")*$A33)+(COUNTIF(O34:O34,"Yes")*$A34)+(COUNTIF(O35:O35,"Yes")*$A35)+(COUNTIF(O36:O36,"Yes")*$A36)+(COUNTIF(O37:O37,"Yes")*$A37)+(COUNTIF(O38:O38,"Yes")*$A38)+(COUNTIF(O39:O39,"Yes")*$A39)+(COUNTIF(O40:O40,"Yes")*$A40)+(COUNTIF(O42:O42,"Yes")*$A42)+(COUNTIF(O42:O42,"Yes")*$A42)</f>
        <v>64</v>
      </c>
      <c r="P43" s="14">
        <f>(COUNTIF(P15:P15,"Yes")*$A15)+(COUNTIF(P16:P16,"Yes")*$A16)+(COUNTIF(P17:P17,"Yes")*$A17)+(COUNTIF(P18:P18,"Yes")*$A18)+(COUNTIF(P19:P19,"Yes")*$A19)+(COUNTIF(P20:P20,"Yes")*$A20)+(COUNTIF(P21:P21,"Yes")*$A21)+(COUNTIF(P22:P22,"Yes")*$A22)+(COUNTIF(P23:P23,"Yes")*$A23)+(COUNTIF(P24:P24,"Yes")*$A24)+(COUNTIF(P25:P25,"Yes")*$A25)+(COUNTIF(P26:P26,"Yes")*$A26)+(COUNTIF(P27:P27,"Yes")*$A27)+(COUNTIF(P28:P28,"Yes")*$A28)+(COUNTIF(P29:P29,"Yes")*$A29)+(COUNTIF(P30:P30,"Yes")*$A30)+(COUNTIF(P31:P31,"Yes")*$A31)+(COUNTIF(P32:P32,"Yes")*$A32)+(COUNTIF(P33:P33,"Yes")*$A33)+(COUNTIF(P34:P34,"Yes")*$A34)+(COUNTIF(P35:P35,"Yes")*$A35)+(COUNTIF(P36:P36,"Yes")*$A36)+(COUNTIF(P37:P37,"Yes")*$A37)+(COUNTIF(P38:P38,"Yes")*$A38)+(COUNTIF(P39:P39,"Yes")*$A39)+(COUNTIF(P40:P40,"Yes")*$A40)+(COUNTIF(P42:P42,"Yes")*$A42)+(COUNTIF(P42:P42,"Yes")*$A42)</f>
        <v>63</v>
      </c>
      <c r="Q43" s="14">
        <f>(COUNTIF(Q15:Q15,"Yes")*$A15)+(COUNTIF(Q16:Q16,"Yes")*$A16)+(COUNTIF(Q17:Q17,"Yes")*$A17)+(COUNTIF(Q18:Q18,"Yes")*$A18)+(COUNTIF(Q19:Q19,"Yes")*$A19)+(COUNTIF(Q20:Q20,"Yes")*$A20)+(COUNTIF(Q21:Q21,"Yes")*$A21)+(COUNTIF(Q22:Q22,"Yes")*$A22)+(COUNTIF(Q23:Q23,"Yes")*$A23)+(COUNTIF(Q24:Q24,"Yes")*$A24)+(COUNTIF(Q25:Q25,"Yes")*$A25)+(COUNTIF(Q26:Q26,"Yes")*$A26)+(COUNTIF(Q27:Q27,"Yes")*$A27)+(COUNTIF(Q28:Q28,"Yes")*$A28)+(COUNTIF(Q29:Q29,"Yes")*$A29)+(COUNTIF(Q30:Q30,"Yes")*$A30)+(COUNTIF(Q31:Q31,"Yes")*$A31)+(COUNTIF(Q32:Q32,"Yes")*$A32)+(COUNTIF(Q33:Q33,"Yes")*$A33)+(COUNTIF(Q34:Q34,"Yes")*$A34)+(COUNTIF(Q35:Q35,"Yes")*$A35)+(COUNTIF(Q36:Q36,"Yes")*$A36)+(COUNTIF(Q37:Q37,"Yes")*$A37)+(COUNTIF(Q38:Q38,"Yes")*$A38)+(COUNTIF(Q39:Q39,"Yes")*$A39)+(COUNTIF(Q40:Q40,"Yes")*$A40)+(COUNTIF(Q42:Q42,"Yes")*$A42)+(COUNTIF(Q42:Q42,"Yes")*$A42)</f>
        <v>63</v>
      </c>
      <c r="R43" s="14">
        <f>(COUNTIF(R15:R15,"Yes")*$A15)+(COUNTIF(R16:R16,"Yes")*$A16)+(COUNTIF(R17:R17,"Yes")*$A17)+(COUNTIF(R18:R18,"Yes")*$A18)+(COUNTIF(R19:R19,"Yes")*$A19)+(COUNTIF(R20:R20,"Yes")*$A20)+(COUNTIF(R21:R21,"Yes")*$A21)+(COUNTIF(R22:R22,"Yes")*$A22)+(COUNTIF(R23:R23,"Yes")*$A23)+(COUNTIF(R24:R24,"Yes")*$A24)+(COUNTIF(R25:R25,"Yes")*$A25)+(COUNTIF(R26:R26,"Yes")*$A26)+(COUNTIF(R27:R27,"Yes")*$A27)+(COUNTIF(R28:R28,"Yes")*$A28)+(COUNTIF(R29:R29,"Yes")*$A29)+(COUNTIF(R30:R30,"Yes")*$A30)+(COUNTIF(R31:R31,"Yes")*$A31)+(COUNTIF(R32:R32,"Yes")*$A32)+(COUNTIF(R33:R33,"Yes")*$A33)+(COUNTIF(R34:R34,"Yes")*$A34)+(COUNTIF(R35:R35,"Yes")*$A35)+(COUNTIF(R36:R36,"Yes")*$A36)+(COUNTIF(R37:R37,"Yes")*$A37)+(COUNTIF(R38:R38,"Yes")*$A38)+(COUNTIF(R39:R39,"Yes")*$A39)+(COUNTIF(R40:R40,"Yes")*$A40)+(COUNTIF(R42:R42,"Yes")*$A42)+(COUNTIF(R42:R42,"Yes")*$A42)</f>
        <v>62</v>
      </c>
      <c r="S43" s="14">
        <f>(COUNTIF(S15:S15,"Yes")*$A15)+(COUNTIF(S16:S16,"Yes")*$A16)+(COUNTIF(S17:S17,"Yes")*$A17)+(COUNTIF(S18:S18,"Yes")*$A18)+(COUNTIF(S19:S19,"Yes")*$A19)+(COUNTIF(S20:S20,"Yes")*$A20)+(COUNTIF(S21:S21,"Yes")*$A21)+(COUNTIF(S22:S22,"Yes")*$A22)+(COUNTIF(S23:S23,"Yes")*$A23)+(COUNTIF(S24:S24,"Yes")*$A24)+(COUNTIF(S25:S25,"Yes")*$A25)+(COUNTIF(S26:S26,"Yes")*$A26)+(COUNTIF(S27:S27,"Yes")*$A27)+(COUNTIF(S28:S28,"Yes")*$A28)+(COUNTIF(S29:S29,"Yes")*$A29)+(COUNTIF(S30:S30,"Yes")*$A30)+(COUNTIF(S31:S31,"Yes")*$A31)+(COUNTIF(S32:S32,"Yes")*$A32)+(COUNTIF(S33:S33,"Yes")*$A33)+(COUNTIF(S34:S34,"Yes")*$A34)+(COUNTIF(S35:S35,"Yes")*$A35)+(COUNTIF(S36:S36,"Yes")*$A36)+(COUNTIF(S37:S37,"Yes")*$A37)+(COUNTIF(S38:S38,"Yes")*$A38)+(COUNTIF(S39:S39,"Yes")*$A39)+(COUNTIF(S40:S40,"Yes")*$A40)+(COUNTIF(S42:S42,"Yes")*$A42)+(COUNTIF(S42:S42,"Yes")*$A42)</f>
        <v>58</v>
      </c>
      <c r="T43" s="14">
        <f>(COUNTIF(T15:T15,"Yes")*$A15)+(COUNTIF(T16:T16,"Yes")*$A16)+(COUNTIF(T17:T17,"Yes")*$A17)+(COUNTIF(T18:T18,"Yes")*$A18)+(COUNTIF(T19:T19,"Yes")*$A19)+(COUNTIF(T20:T20,"Yes")*$A20)+(COUNTIF(T21:T21,"Yes")*$A21)+(COUNTIF(T22:T22,"Yes")*$A22)+(COUNTIF(T23:T23,"Yes")*$A23)+(COUNTIF(T24:T24,"Yes")*$A24)+(COUNTIF(T25:T25,"Yes")*$A25)+(COUNTIF(T26:T26,"Yes")*$A26)+(COUNTIF(T27:T27,"Yes")*$A27)+(COUNTIF(T28:T28,"Yes")*$A28)+(COUNTIF(T29:T29,"Yes")*$A29)+(COUNTIF(T30:T30,"Yes")*$A30)+(COUNTIF(T31:T31,"Yes")*$A31)+(COUNTIF(T32:T32,"Yes")*$A32)+(COUNTIF(T33:T33,"Yes")*$A33)+(COUNTIF(T34:T34,"Yes")*$A34)+(COUNTIF(T35:T35,"Yes")*$A35)+(COUNTIF(T36:T36,"Yes")*$A36)+(COUNTIF(T37:T37,"Yes")*$A37)+(COUNTIF(T38:T38,"Yes")*$A38)+(COUNTIF(T39:T39,"Yes")*$A39)+(COUNTIF(T40:T40,"Yes")*$A40)+(COUNTIF(T42:T42,"Yes")*$A42)+(COUNTIF(T42:T42,"Yes")*$A42)</f>
        <v>58</v>
      </c>
      <c r="U43" s="14">
        <f>(COUNTIF(U15:U15,"Yes")*$A15)+(COUNTIF(U16:U16,"Yes")*$A16)+(COUNTIF(U17:U17,"Yes")*$A17)+(COUNTIF(U18:U18,"Yes")*$A18)+(COUNTIF(U19:U19,"Yes")*$A19)+(COUNTIF(U20:U20,"Yes")*$A20)+(COUNTIF(U21:U21,"Yes")*$A21)+(COUNTIF(U22:U22,"Yes")*$A22)+(COUNTIF(U23:U23,"Yes")*$A23)+(COUNTIF(U24:U24,"Yes")*$A24)+(COUNTIF(U25:U25,"Yes")*$A25)+(COUNTIF(U26:U26,"Yes")*$A26)+(COUNTIF(U27:U27,"Yes")*$A27)+(COUNTIF(U28:U28,"Yes")*$A28)+(COUNTIF(U29:U29,"Yes")*$A29)+(COUNTIF(U30:U30,"Yes")*$A30)+(COUNTIF(U31:U31,"Yes")*$A31)+(COUNTIF(U32:U32,"Yes")*$A32)+(COUNTIF(U33:U33,"Yes")*$A33)+(COUNTIF(U34:U34,"Yes")*$A34)+(COUNTIF(U35:U35,"Yes")*$A35)+(COUNTIF(U36:U36,"Yes")*$A36)+(COUNTIF(U37:U37,"Yes")*$A37)+(COUNTIF(U38:U38,"Yes")*$A38)+(COUNTIF(U39:U39,"Yes")*$A39)+(COUNTIF(U40:U40,"Yes")*$A40)+(COUNTIF(U42:U42,"Yes")*$A42)+(COUNTIF(U42:U42,"Yes")*$A42)</f>
        <v>58</v>
      </c>
      <c r="V43" s="14">
        <f>(COUNTIF(V15:V15,"Yes")*$A15)+(COUNTIF(V16:V16,"Yes")*$A16)+(COUNTIF(V17:V17,"Yes")*$A17)+(COUNTIF(V18:V18,"Yes")*$A18)+(COUNTIF(V19:V19,"Yes")*$A19)+(COUNTIF(V20:V20,"Yes")*$A20)+(COUNTIF(V21:V21,"Yes")*$A21)+(COUNTIF(V22:V22,"Yes")*$A22)+(COUNTIF(V23:V23,"Yes")*$A23)+(COUNTIF(V24:V24,"Yes")*$A24)+(COUNTIF(V25:V25,"Yes")*$A25)+(COUNTIF(V26:V26,"Yes")*$A26)+(COUNTIF(V27:V27,"Yes")*$A27)+(COUNTIF(V28:V28,"Yes")*$A28)+(COUNTIF(V29:V29,"Yes")*$A29)+(COUNTIF(V30:V30,"Yes")*$A30)+(COUNTIF(V31:V31,"Yes")*$A31)+(COUNTIF(V32:V32,"Yes")*$A32)+(COUNTIF(V33:V33,"Yes")*$A33)+(COUNTIF(V34:V34,"Yes")*$A34)+(COUNTIF(V35:V35,"Yes")*$A35)+(COUNTIF(V36:V36,"Yes")*$A36)+(COUNTIF(V37:V37,"Yes")*$A37)+(COUNTIF(V38:V38,"Yes")*$A38)+(COUNTIF(V39:V39,"Yes")*$A39)+(COUNTIF(V40:V40,"Yes")*$A40)+(COUNTIF(V42:V42,"Yes")*$A42)+(COUNTIF(V42:V42,"Yes")*$A42)</f>
        <v>29</v>
      </c>
      <c r="W43" s="14">
        <f>(COUNTIF(W15:W15,"Yes")*$A15)+(COUNTIF(W16:W16,"Yes")*$A16)+(COUNTIF(W17:W17,"Yes")*$A17)+(COUNTIF(W18:W18,"Yes")*$A18)+(COUNTIF(W19:W19,"Yes")*$A19)+(COUNTIF(W20:W20,"Yes")*$A20)+(COUNTIF(W21:W21,"Yes")*$A21)+(COUNTIF(W22:W22,"Yes")*$A22)+(COUNTIF(W23:W23,"Yes")*$A23)+(COUNTIF(W24:W24,"Yes")*$A24)+(COUNTIF(W25:W25,"Yes")*$A25)+(COUNTIF(W26:W26,"Yes")*$A26)+(COUNTIF(W27:W27,"Yes")*$A27)+(COUNTIF(W28:W28,"Yes")*$A28)+(COUNTIF(W29:W29,"Yes")*$A29)+(COUNTIF(W30:W30,"Yes")*$A30)+(COUNTIF(W31:W31,"Yes")*$A31)+(COUNTIF(W32:W32,"Yes")*$A32)+(COUNTIF(W33:W33,"Yes")*$A33)+(COUNTIF(W34:W34,"Yes")*$A34)+(COUNTIF(W35:W35,"Yes")*$A35)+(COUNTIF(W36:W36,"Yes")*$A36)+(COUNTIF(W37:W37,"Yes")*$A37)+(COUNTIF(W38:W38,"Yes")*$A38)+(COUNTIF(W39:W39,"Yes")*$A39)+(COUNTIF(W40:W40,"Yes")*$A40)+(COUNTIF(W42:W42,"Yes")*$A42)+(COUNTIF(W42:W42,"Yes")*$A42)</f>
        <v>27</v>
      </c>
      <c r="Y43" s="14"/>
      <c r="Z43" s="14"/>
      <c r="AA43" s="14"/>
      <c r="AB43" s="11"/>
      <c r="AC43" s="11"/>
    </row>
    <row r="44" spans="1:29" x14ac:dyDescent="0.25">
      <c r="B44" t="s">
        <v>97</v>
      </c>
      <c r="C44" s="12">
        <f t="shared" ref="C44:V44" si="3">C43/$A42</f>
        <v>0.91489361702127658</v>
      </c>
      <c r="D44" s="12">
        <f>D43/$A42</f>
        <v>0.9042553191489362</v>
      </c>
      <c r="E44" s="12">
        <f t="shared" si="3"/>
        <v>0.8936170212765957</v>
      </c>
      <c r="F44" s="12">
        <f t="shared" si="3"/>
        <v>0.84042553191489366</v>
      </c>
      <c r="G44" s="12">
        <f t="shared" si="3"/>
        <v>0.84042553191489366</v>
      </c>
      <c r="H44" s="12">
        <f>H43/$A42</f>
        <v>0.82978723404255317</v>
      </c>
      <c r="I44" s="12">
        <f t="shared" si="3"/>
        <v>0.7978723404255319</v>
      </c>
      <c r="J44" s="12">
        <f>J43/$A42</f>
        <v>0.77659574468085102</v>
      </c>
      <c r="K44" s="12">
        <f t="shared" si="3"/>
        <v>0.76595744680851063</v>
      </c>
      <c r="L44" s="12">
        <f>L43/$A42</f>
        <v>0.69148936170212771</v>
      </c>
      <c r="M44" s="12">
        <f>M43/$A42</f>
        <v>0.68085106382978722</v>
      </c>
      <c r="N44" s="12">
        <f>N43/$A42</f>
        <v>0.68085106382978722</v>
      </c>
      <c r="O44" s="12">
        <f>O43/$A42</f>
        <v>0.68085106382978722</v>
      </c>
      <c r="P44" s="12">
        <f t="shared" si="3"/>
        <v>0.67021276595744683</v>
      </c>
      <c r="Q44" s="12">
        <f t="shared" si="3"/>
        <v>0.67021276595744683</v>
      </c>
      <c r="R44" s="12">
        <f t="shared" si="3"/>
        <v>0.65957446808510634</v>
      </c>
      <c r="S44" s="12">
        <f t="shared" si="3"/>
        <v>0.61702127659574468</v>
      </c>
      <c r="T44" s="12">
        <f t="shared" si="3"/>
        <v>0.61702127659574468</v>
      </c>
      <c r="U44" s="12">
        <f t="shared" si="3"/>
        <v>0.61702127659574468</v>
      </c>
      <c r="V44" s="12">
        <f t="shared" si="3"/>
        <v>0.30851063829787234</v>
      </c>
      <c r="W44" s="12">
        <f>W43/$A42</f>
        <v>0.28723404255319152</v>
      </c>
      <c r="Y44" s="12"/>
      <c r="Z44" s="12"/>
      <c r="AA44" s="12"/>
      <c r="AC44" s="19"/>
    </row>
    <row r="45" spans="1:29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Y45" s="14"/>
      <c r="Z45" s="14"/>
      <c r="AA45" s="14"/>
      <c r="AC45" s="19"/>
    </row>
    <row r="46" spans="1:29" x14ac:dyDescent="0.25">
      <c r="B46" t="s">
        <v>77</v>
      </c>
      <c r="C46" s="2">
        <v>0</v>
      </c>
      <c r="D46" s="2">
        <f>D11/(D44*100)</f>
        <v>139.34117647058821</v>
      </c>
      <c r="E46" s="2">
        <f>E11/(E44*100)</f>
        <v>251.78571428571431</v>
      </c>
      <c r="F46" s="2">
        <f>F11/(F44*100)</f>
        <v>214.14151898734178</v>
      </c>
      <c r="G46" s="2">
        <f>G11/(G44*100)</f>
        <v>207.51392405063291</v>
      </c>
      <c r="H46" s="2">
        <f>H11/(H44*100)</f>
        <v>134.8297435897436</v>
      </c>
      <c r="I46" s="2">
        <f>I11/(I44*100)</f>
        <v>198.34</v>
      </c>
      <c r="J46" s="2">
        <f>J11/(J44*100)</f>
        <v>283.28767123287673</v>
      </c>
      <c r="K46" s="2">
        <f>K11/(K44*100)</f>
        <v>157.93305555555554</v>
      </c>
      <c r="L46" s="2">
        <f>L11/(L44*100)</f>
        <v>160.94246153846152</v>
      </c>
      <c r="M46" s="2">
        <f>M11/(M44*100)</f>
        <v>235</v>
      </c>
      <c r="N46" s="2">
        <f>N11/(N44*100)</f>
        <v>345.15625</v>
      </c>
      <c r="O46" s="2">
        <f>O11/(O44*100)</f>
        <v>236.54218750000001</v>
      </c>
      <c r="P46" s="2">
        <f>P11/(P44*100)</f>
        <v>220.82539682539684</v>
      </c>
      <c r="Q46" s="2">
        <f>Q11/(Q44*100)</f>
        <v>292.44444444444446</v>
      </c>
      <c r="R46" s="2">
        <f>R11/(R44*100)</f>
        <v>169.78825806451613</v>
      </c>
      <c r="S46" s="2">
        <f>S11/(S44*100)</f>
        <v>218.27448275862071</v>
      </c>
      <c r="T46" s="2">
        <f>T11/(T44*100)</f>
        <v>181.32275862068965</v>
      </c>
      <c r="U46" s="2">
        <f>U11/(U44*100)</f>
        <v>186.37525862068966</v>
      </c>
      <c r="V46" s="2">
        <f>V11/(V44*100)</f>
        <v>401.83379310344827</v>
      </c>
      <c r="W46" s="2">
        <f>W11/(W44*100)</f>
        <v>478.70370370370364</v>
      </c>
      <c r="Y46" s="2"/>
      <c r="Z46" s="2"/>
      <c r="AA46" s="2"/>
    </row>
    <row r="48" spans="1:29" x14ac:dyDescent="0.25">
      <c r="B48" t="s">
        <v>29</v>
      </c>
      <c r="L48" s="6"/>
    </row>
    <row r="52" spans="2:6" ht="46.5" customHeight="1" x14ac:dyDescent="0.25">
      <c r="D52" t="s">
        <v>84</v>
      </c>
      <c r="E52" s="13" t="s">
        <v>93</v>
      </c>
      <c r="F52" s="13"/>
    </row>
    <row r="53" spans="2:6" x14ac:dyDescent="0.25">
      <c r="B53" t="str">
        <f>D1</f>
        <v xml:space="preserve">Zoho </v>
      </c>
      <c r="D53" s="19">
        <f>D44</f>
        <v>0.9042553191489362</v>
      </c>
      <c r="E53" s="3">
        <f>D8</f>
        <v>3380</v>
      </c>
      <c r="F53" s="12"/>
    </row>
    <row r="54" spans="2:6" x14ac:dyDescent="0.25">
      <c r="B54" t="str">
        <f>F1</f>
        <v>Asana</v>
      </c>
      <c r="D54" s="19">
        <f>F44</f>
        <v>0.84042553191489366</v>
      </c>
      <c r="E54" s="3">
        <f>F8+F5</f>
        <v>10994</v>
      </c>
      <c r="F54" s="12"/>
    </row>
    <row r="55" spans="2:6" x14ac:dyDescent="0.25">
      <c r="B55" t="str">
        <f>G1</f>
        <v>Wrike</v>
      </c>
      <c r="D55" s="19">
        <f>G44</f>
        <v>0.84042553191489366</v>
      </c>
      <c r="E55" s="3">
        <f>G8</f>
        <v>14880.000000000002</v>
      </c>
      <c r="F55" s="12"/>
    </row>
    <row r="56" spans="2:6" x14ac:dyDescent="0.25">
      <c r="B56" t="str">
        <f>E1</f>
        <v>Smartsheet</v>
      </c>
      <c r="D56" s="19">
        <f>E44</f>
        <v>0.8936170212765957</v>
      </c>
      <c r="E56" s="3">
        <f>E8+E5</f>
        <v>20000</v>
      </c>
      <c r="F56" s="12"/>
    </row>
    <row r="57" spans="2:6" x14ac:dyDescent="0.25">
      <c r="B57" t="str">
        <f>C1</f>
        <v>SharePoint
2016</v>
      </c>
      <c r="D57" s="19">
        <f>C44</f>
        <v>0.91489361702127658</v>
      </c>
      <c r="E57" s="3">
        <v>0.01</v>
      </c>
      <c r="F57" s="12"/>
    </row>
    <row r="58" spans="2:6" x14ac:dyDescent="0.25">
      <c r="B58" t="str">
        <f>I1</f>
        <v>MS Project</v>
      </c>
      <c r="D58" s="19">
        <f>I44</f>
        <v>0.7978723404255319</v>
      </c>
      <c r="E58" s="3">
        <f>I8+I5</f>
        <v>8300</v>
      </c>
      <c r="F58" s="12"/>
    </row>
    <row r="59" spans="2:6" x14ac:dyDescent="0.25">
      <c r="B59" t="str">
        <f>N1</f>
        <v>Liquid Planner</v>
      </c>
      <c r="D59" s="19">
        <f>N44</f>
        <v>0.68085106382978722</v>
      </c>
      <c r="E59" s="3">
        <f>N8</f>
        <v>27000</v>
      </c>
      <c r="F59" s="12"/>
    </row>
    <row r="60" spans="2:6" x14ac:dyDescent="0.25">
      <c r="B60" t="str">
        <f>H1</f>
        <v>Active
Collab</v>
      </c>
      <c r="D60" s="19">
        <f>H44</f>
        <v>0.82978723404255317</v>
      </c>
      <c r="E60" s="3">
        <f>H8</f>
        <v>2388</v>
      </c>
      <c r="F60" s="12"/>
    </row>
    <row r="61" spans="2:6" x14ac:dyDescent="0.25">
      <c r="B61" t="str">
        <f>K1</f>
        <v>Freedcamp</v>
      </c>
      <c r="D61" s="19">
        <f>K44</f>
        <v>0.76595744680851063</v>
      </c>
      <c r="E61" s="3">
        <f>K8</f>
        <v>4194</v>
      </c>
      <c r="F61" s="12"/>
    </row>
    <row r="62" spans="2:6" x14ac:dyDescent="0.25">
      <c r="B62" t="str">
        <f>P1</f>
        <v>Podio</v>
      </c>
      <c r="D62" s="19">
        <f>P44</f>
        <v>0.67021276595744683</v>
      </c>
      <c r="E62" s="3">
        <f>P8</f>
        <v>9600</v>
      </c>
      <c r="F62" s="12"/>
    </row>
    <row r="63" spans="2:6" x14ac:dyDescent="0.25">
      <c r="B63" t="str">
        <f>M1</f>
        <v>AirTable</v>
      </c>
      <c r="D63" s="19">
        <f>M44</f>
        <v>0.68085106382978722</v>
      </c>
      <c r="E63" s="3">
        <f>M8</f>
        <v>12000</v>
      </c>
      <c r="F63" s="12"/>
    </row>
    <row r="64" spans="2:6" x14ac:dyDescent="0.25">
      <c r="B64" t="str">
        <f>O1</f>
        <v>Target Process</v>
      </c>
      <c r="D64" s="19">
        <f>O44</f>
        <v>0.68085106382978722</v>
      </c>
      <c r="E64" s="3">
        <f>O8+O5</f>
        <v>12105</v>
      </c>
      <c r="F64" s="12"/>
    </row>
    <row r="65" spans="2:6" x14ac:dyDescent="0.25">
      <c r="B65" t="str">
        <f>L1</f>
        <v>Open
Project</v>
      </c>
      <c r="D65" s="19">
        <f>L44</f>
        <v>0.69148936170212771</v>
      </c>
      <c r="E65" s="3">
        <f>L8+O5</f>
        <v>1223</v>
      </c>
      <c r="F65" s="12"/>
    </row>
    <row r="66" spans="2:6" x14ac:dyDescent="0.25">
      <c r="B66" t="str">
        <f>S1</f>
        <v>Monday</v>
      </c>
      <c r="D66" s="19">
        <f>S44</f>
        <v>0.61702127659574468</v>
      </c>
      <c r="E66" s="3">
        <f>S8</f>
        <v>7188</v>
      </c>
      <c r="F66" s="12"/>
    </row>
    <row r="67" spans="2:6" x14ac:dyDescent="0.25">
      <c r="B67" t="str">
        <f>T1</f>
        <v>BaseCamp</v>
      </c>
      <c r="D67" s="19">
        <f>T44</f>
        <v>0.61702127659574468</v>
      </c>
      <c r="E67" s="3">
        <f>T8</f>
        <v>1188</v>
      </c>
      <c r="F67" s="12"/>
    </row>
    <row r="68" spans="2:6" x14ac:dyDescent="0.25">
      <c r="B68" t="str">
        <f>U1</f>
        <v>MS Planner</v>
      </c>
      <c r="D68" s="19">
        <f>U44</f>
        <v>0.61702127659574468</v>
      </c>
      <c r="E68" s="3">
        <f>U8</f>
        <v>2999.5</v>
      </c>
      <c r="F68" s="12"/>
    </row>
    <row r="69" spans="2:6" x14ac:dyDescent="0.25">
      <c r="B69" t="str">
        <f>Q1</f>
        <v>LeanKit</v>
      </c>
      <c r="D69" s="19">
        <f>Q44</f>
        <v>0.67021276595744683</v>
      </c>
      <c r="E69" s="3">
        <f>Q8</f>
        <v>19200</v>
      </c>
      <c r="F69" s="12"/>
    </row>
    <row r="70" spans="2:6" x14ac:dyDescent="0.25">
      <c r="B70" t="str">
        <f>R1</f>
        <v>Trello</v>
      </c>
      <c r="D70" s="19">
        <f>R44</f>
        <v>0.65957446808510634</v>
      </c>
      <c r="E70" s="3">
        <f>R8</f>
        <v>5994</v>
      </c>
      <c r="F70" s="12"/>
    </row>
    <row r="71" spans="2:6" x14ac:dyDescent="0.25">
      <c r="B71" t="str">
        <f>W1</f>
        <v>Slack</v>
      </c>
      <c r="D71" s="19">
        <f>W44</f>
        <v>0.28723404255319152</v>
      </c>
      <c r="E71" s="3">
        <f>W8</f>
        <v>7500</v>
      </c>
      <c r="F71" s="12"/>
    </row>
    <row r="72" spans="2:6" x14ac:dyDescent="0.25">
      <c r="B72" t="str">
        <f>V1</f>
        <v>Volerro</v>
      </c>
      <c r="D72" s="19">
        <f>V44</f>
        <v>0.30851063829787234</v>
      </c>
      <c r="E72" s="3">
        <f>V8</f>
        <v>4794</v>
      </c>
      <c r="F72" s="12"/>
    </row>
    <row r="73" spans="2:6" x14ac:dyDescent="0.25">
      <c r="B73" t="s">
        <v>92</v>
      </c>
      <c r="D73" s="19">
        <f>J44</f>
        <v>0.77659574468085102</v>
      </c>
      <c r="E73" s="8">
        <f>J8</f>
        <v>24000</v>
      </c>
      <c r="F73" s="12"/>
    </row>
  </sheetData>
  <sortState ref="A15:W41">
    <sortCondition ref="A15:A41"/>
  </sortState>
  <conditionalFormatting sqref="C21:C27 I21:I42 F15:F38 U21:U42 S20:T42 S15:U19 K15:L42 N38 Y38:AA38 Y39:AB39 Y40:AA43 O38:O42 C29:C42 I15:I19 C15:C19 G15:G42 E15:E42 H38:H39 M38:M39 P38:Q38 V38:W38">
    <cfRule type="cellIs" dxfId="168" priority="188" operator="equal">
      <formula>"Yes"</formula>
    </cfRule>
  </conditionalFormatting>
  <conditionalFormatting sqref="U15">
    <cfRule type="cellIs" dxfId="167" priority="187" operator="equal">
      <formula>"Yes"</formula>
    </cfRule>
  </conditionalFormatting>
  <conditionalFormatting sqref="F39:F42">
    <cfRule type="cellIs" dxfId="166" priority="185" operator="equal">
      <formula>"Yes"</formula>
    </cfRule>
  </conditionalFormatting>
  <conditionalFormatting sqref="D38">
    <cfRule type="cellIs" dxfId="165" priority="184" operator="equal">
      <formula>"Yes"</formula>
    </cfRule>
  </conditionalFormatting>
  <conditionalFormatting sqref="H40:H42">
    <cfRule type="cellIs" dxfId="164" priority="172" operator="equal">
      <formula>"Yes"</formula>
    </cfRule>
  </conditionalFormatting>
  <conditionalFormatting sqref="D39:D43">
    <cfRule type="cellIs" dxfId="163" priority="181" operator="equal">
      <formula>"Yes"</formula>
    </cfRule>
  </conditionalFormatting>
  <conditionalFormatting sqref="N39">
    <cfRule type="cellIs" dxfId="162" priority="179" operator="equal">
      <formula>"Yes"</formula>
    </cfRule>
  </conditionalFormatting>
  <conditionalFormatting sqref="N40:N42">
    <cfRule type="cellIs" dxfId="161" priority="178" operator="equal">
      <formula>"Yes"</formula>
    </cfRule>
  </conditionalFormatting>
  <conditionalFormatting sqref="Q39:Q42">
    <cfRule type="cellIs" dxfId="160" priority="174" operator="equal">
      <formula>"Yes"</formula>
    </cfRule>
  </conditionalFormatting>
  <conditionalFormatting sqref="P39:P42">
    <cfRule type="cellIs" dxfId="159" priority="173" operator="equal">
      <formula>"Yes"</formula>
    </cfRule>
  </conditionalFormatting>
  <conditionalFormatting sqref="AB39 Y15:AA43 R15:R35 J15 J17:J42 D43 C15:I42 K15:Q42 S15:W42">
    <cfRule type="cellIs" dxfId="158" priority="169" operator="equal">
      <formula>"Yes"</formula>
    </cfRule>
    <cfRule type="cellIs" dxfId="157" priority="170" operator="equal">
      <formula>"No"</formula>
    </cfRule>
    <cfRule type="cellIs" dxfId="156" priority="171" operator="equal">
      <formula>"Yes"</formula>
    </cfRule>
  </conditionalFormatting>
  <conditionalFormatting sqref="AB39 S38:T38 Y39:AA43 Y15:AA37 R15:R35 J15 J17:J42 F15:G42 D43 C39:E42 C15:E37 K15:L42 H15:I37 H39:I42 M39:Q42 M15:Q37 S15:W37 S39:W42">
    <cfRule type="cellIs" dxfId="155" priority="168" operator="equal">
      <formula>"Yes"</formula>
    </cfRule>
  </conditionalFormatting>
  <conditionalFormatting sqref="AB40:AB43">
    <cfRule type="cellIs" dxfId="154" priority="167" operator="equal">
      <formula>"Yes"</formula>
    </cfRule>
  </conditionalFormatting>
  <conditionalFormatting sqref="AB40:AB43">
    <cfRule type="cellIs" dxfId="153" priority="164" operator="equal">
      <formula>"Yes"</formula>
    </cfRule>
    <cfRule type="cellIs" dxfId="152" priority="165" operator="equal">
      <formula>"No"</formula>
    </cfRule>
    <cfRule type="cellIs" dxfId="151" priority="166" operator="equal">
      <formula>"Yes"</formula>
    </cfRule>
  </conditionalFormatting>
  <conditionalFormatting sqref="AB40:AB43">
    <cfRule type="cellIs" dxfId="150" priority="163" operator="equal">
      <formula>"Yes"</formula>
    </cfRule>
  </conditionalFormatting>
  <conditionalFormatting sqref="AC40:AC43">
    <cfRule type="cellIs" dxfId="149" priority="162" operator="equal">
      <formula>"Yes"</formula>
    </cfRule>
  </conditionalFormatting>
  <conditionalFormatting sqref="AC40:AC43">
    <cfRule type="cellIs" dxfId="148" priority="159" operator="equal">
      <formula>"Yes"</formula>
    </cfRule>
    <cfRule type="cellIs" dxfId="147" priority="160" operator="equal">
      <formula>"No"</formula>
    </cfRule>
    <cfRule type="cellIs" dxfId="146" priority="161" operator="equal">
      <formula>"Yes"</formula>
    </cfRule>
  </conditionalFormatting>
  <conditionalFormatting sqref="AC40:AC43">
    <cfRule type="cellIs" dxfId="145" priority="158" operator="equal">
      <formula>"Yes"</formula>
    </cfRule>
  </conditionalFormatting>
  <conditionalFormatting sqref="AC39">
    <cfRule type="cellIs" dxfId="144" priority="157" operator="equal">
      <formula>"Yes"</formula>
    </cfRule>
  </conditionalFormatting>
  <conditionalFormatting sqref="AC39">
    <cfRule type="cellIs" dxfId="143" priority="154" operator="equal">
      <formula>"Yes"</formula>
    </cfRule>
    <cfRule type="cellIs" dxfId="142" priority="155" operator="equal">
      <formula>"No"</formula>
    </cfRule>
    <cfRule type="cellIs" dxfId="141" priority="156" operator="equal">
      <formula>"Yes"</formula>
    </cfRule>
  </conditionalFormatting>
  <conditionalFormatting sqref="AC39">
    <cfRule type="cellIs" dxfId="140" priority="153" operator="equal">
      <formula>"Yes"</formula>
    </cfRule>
  </conditionalFormatting>
  <conditionalFormatting sqref="N38">
    <cfRule type="cellIs" dxfId="139" priority="150" operator="equal">
      <formula>"Yes"</formula>
    </cfRule>
  </conditionalFormatting>
  <conditionalFormatting sqref="N38">
    <cfRule type="cellIs" dxfId="138" priority="149" operator="equal">
      <formula>"Yes"</formula>
    </cfRule>
  </conditionalFormatting>
  <conditionalFormatting sqref="D38">
    <cfRule type="cellIs" dxfId="137" priority="148" operator="equal">
      <formula>"Yes"</formula>
    </cfRule>
  </conditionalFormatting>
  <conditionalFormatting sqref="D38">
    <cfRule type="cellIs" dxfId="136" priority="147" operator="equal">
      <formula>"Yes"</formula>
    </cfRule>
  </conditionalFormatting>
  <conditionalFormatting sqref="Q38">
    <cfRule type="cellIs" dxfId="135" priority="146" operator="equal">
      <formula>"Yes"</formula>
    </cfRule>
  </conditionalFormatting>
  <conditionalFormatting sqref="Q38">
    <cfRule type="cellIs" dxfId="134" priority="145" operator="equal">
      <formula>"Yes"</formula>
    </cfRule>
  </conditionalFormatting>
  <conditionalFormatting sqref="P38">
    <cfRule type="cellIs" dxfId="133" priority="144" operator="equal">
      <formula>"Yes"</formula>
    </cfRule>
  </conditionalFormatting>
  <conditionalFormatting sqref="P38">
    <cfRule type="cellIs" dxfId="132" priority="143" operator="equal">
      <formula>"Yes"</formula>
    </cfRule>
  </conditionalFormatting>
  <conditionalFormatting sqref="M38">
    <cfRule type="cellIs" dxfId="131" priority="142" operator="equal">
      <formula>"Yes"</formula>
    </cfRule>
  </conditionalFormatting>
  <conditionalFormatting sqref="W39:W42">
    <cfRule type="cellIs" dxfId="130" priority="140" operator="equal">
      <formula>"Yes"</formula>
    </cfRule>
  </conditionalFormatting>
  <conditionalFormatting sqref="V39">
    <cfRule type="cellIs" dxfId="129" priority="139" operator="equal">
      <formula>"Yes"</formula>
    </cfRule>
  </conditionalFormatting>
  <conditionalFormatting sqref="W38">
    <cfRule type="cellIs" dxfId="128" priority="134" operator="equal">
      <formula>"Yes"</formula>
    </cfRule>
  </conditionalFormatting>
  <conditionalFormatting sqref="V38">
    <cfRule type="cellIs" dxfId="127" priority="133" operator="equal">
      <formula>"Yes"</formula>
    </cfRule>
  </conditionalFormatting>
  <conditionalFormatting sqref="N41:N42">
    <cfRule type="cellIs" dxfId="126" priority="132" operator="equal">
      <formula>"Yes"</formula>
    </cfRule>
  </conditionalFormatting>
  <conditionalFormatting sqref="O41:O42">
    <cfRule type="cellIs" dxfId="125" priority="131" operator="equal">
      <formula>"Yes"</formula>
    </cfRule>
  </conditionalFormatting>
  <conditionalFormatting sqref="O41:O42">
    <cfRule type="cellIs" dxfId="124" priority="130" operator="equal">
      <formula>"Yes"</formula>
    </cfRule>
  </conditionalFormatting>
  <conditionalFormatting sqref="O38">
    <cfRule type="cellIs" dxfId="123" priority="129" operator="equal">
      <formula>"Yes"</formula>
    </cfRule>
  </conditionalFormatting>
  <conditionalFormatting sqref="O38">
    <cfRule type="cellIs" dxfId="122" priority="128" operator="equal">
      <formula>"Yes"</formula>
    </cfRule>
  </conditionalFormatting>
  <conditionalFormatting sqref="O39:O40">
    <cfRule type="cellIs" dxfId="121" priority="127" operator="equal">
      <formula>"Yes"</formula>
    </cfRule>
  </conditionalFormatting>
  <conditionalFormatting sqref="R39:R40">
    <cfRule type="cellIs" dxfId="120" priority="124" operator="equal">
      <formula>"Yes"</formula>
    </cfRule>
    <cfRule type="cellIs" dxfId="119" priority="125" operator="equal">
      <formula>"No"</formula>
    </cfRule>
    <cfRule type="cellIs" dxfId="118" priority="126" operator="equal">
      <formula>"Yes"</formula>
    </cfRule>
  </conditionalFormatting>
  <conditionalFormatting sqref="R39:R40">
    <cfRule type="cellIs" dxfId="117" priority="123" operator="equal">
      <formula>"Yes"</formula>
    </cfRule>
  </conditionalFormatting>
  <conditionalFormatting sqref="R41:R42">
    <cfRule type="cellIs" dxfId="116" priority="122" operator="equal">
      <formula>"Yes"</formula>
    </cfRule>
  </conditionalFormatting>
  <conditionalFormatting sqref="R41:R42">
    <cfRule type="cellIs" dxfId="115" priority="119" operator="equal">
      <formula>"Yes"</formula>
    </cfRule>
    <cfRule type="cellIs" dxfId="114" priority="120" operator="equal">
      <formula>"No"</formula>
    </cfRule>
    <cfRule type="cellIs" dxfId="113" priority="121" operator="equal">
      <formula>"Yes"</formula>
    </cfRule>
  </conditionalFormatting>
  <conditionalFormatting sqref="R41:R42">
    <cfRule type="cellIs" dxfId="112" priority="118" operator="equal">
      <formula>"Yes"</formula>
    </cfRule>
  </conditionalFormatting>
  <conditionalFormatting sqref="R41:R42">
    <cfRule type="cellIs" dxfId="111" priority="117" operator="equal">
      <formula>"Yes"</formula>
    </cfRule>
  </conditionalFormatting>
  <conditionalFormatting sqref="N26:N27">
    <cfRule type="cellIs" dxfId="110" priority="116" operator="equal">
      <formula>"Yes"</formula>
    </cfRule>
  </conditionalFormatting>
  <conditionalFormatting sqref="Q26:Q27">
    <cfRule type="cellIs" dxfId="109" priority="115" operator="equal">
      <formula>"Yes"</formula>
    </cfRule>
  </conditionalFormatting>
  <conditionalFormatting sqref="D26:D27">
    <cfRule type="cellIs" dxfId="108" priority="114" operator="equal">
      <formula>"Yes"</formula>
    </cfRule>
  </conditionalFormatting>
  <conditionalFormatting sqref="C38">
    <cfRule type="cellIs" dxfId="107" priority="113" operator="equal">
      <formula>"Yes"</formula>
    </cfRule>
  </conditionalFormatting>
  <conditionalFormatting sqref="R27">
    <cfRule type="cellIs" dxfId="106" priority="112" operator="equal">
      <formula>"Yes"</formula>
    </cfRule>
  </conditionalFormatting>
  <conditionalFormatting sqref="W27">
    <cfRule type="cellIs" dxfId="105" priority="111" operator="equal">
      <formula>"Yes"</formula>
    </cfRule>
  </conditionalFormatting>
  <conditionalFormatting sqref="V27">
    <cfRule type="cellIs" dxfId="104" priority="110" operator="equal">
      <formula>"Yes"</formula>
    </cfRule>
  </conditionalFormatting>
  <conditionalFormatting sqref="J16">
    <cfRule type="cellIs" dxfId="103" priority="107" operator="equal">
      <formula>"Yes"</formula>
    </cfRule>
    <cfRule type="cellIs" dxfId="102" priority="108" operator="equal">
      <formula>"No"</formula>
    </cfRule>
    <cfRule type="cellIs" dxfId="101" priority="109" operator="equal">
      <formula>"Yes"</formula>
    </cfRule>
  </conditionalFormatting>
  <conditionalFormatting sqref="J16">
    <cfRule type="cellIs" dxfId="100" priority="106" operator="equal">
      <formula>"Yes"</formula>
    </cfRule>
  </conditionalFormatting>
  <conditionalFormatting sqref="C43">
    <cfRule type="cellIs" dxfId="99" priority="100" operator="equal">
      <formula>"Yes"</formula>
    </cfRule>
  </conditionalFormatting>
  <conditionalFormatting sqref="C43">
    <cfRule type="cellIs" dxfId="98" priority="97" operator="equal">
      <formula>"Yes"</formula>
    </cfRule>
    <cfRule type="cellIs" dxfId="97" priority="98" operator="equal">
      <formula>"No"</formula>
    </cfRule>
    <cfRule type="cellIs" dxfId="96" priority="99" operator="equal">
      <formula>"Yes"</formula>
    </cfRule>
  </conditionalFormatting>
  <conditionalFormatting sqref="C43">
    <cfRule type="cellIs" dxfId="95" priority="96" operator="equal">
      <formula>"Yes"</formula>
    </cfRule>
  </conditionalFormatting>
  <conditionalFormatting sqref="E43">
    <cfRule type="cellIs" dxfId="94" priority="95" operator="equal">
      <formula>"Yes"</formula>
    </cfRule>
  </conditionalFormatting>
  <conditionalFormatting sqref="E43">
    <cfRule type="cellIs" dxfId="93" priority="92" operator="equal">
      <formula>"Yes"</formula>
    </cfRule>
    <cfRule type="cellIs" dxfId="92" priority="93" operator="equal">
      <formula>"No"</formula>
    </cfRule>
    <cfRule type="cellIs" dxfId="91" priority="94" operator="equal">
      <formula>"Yes"</formula>
    </cfRule>
  </conditionalFormatting>
  <conditionalFormatting sqref="E43">
    <cfRule type="cellIs" dxfId="90" priority="91" operator="equal">
      <formula>"Yes"</formula>
    </cfRule>
  </conditionalFormatting>
  <conditionalFormatting sqref="F43">
    <cfRule type="cellIs" dxfId="89" priority="90" operator="equal">
      <formula>"Yes"</formula>
    </cfRule>
  </conditionalFormatting>
  <conditionalFormatting sqref="F43">
    <cfRule type="cellIs" dxfId="88" priority="87" operator="equal">
      <formula>"Yes"</formula>
    </cfRule>
    <cfRule type="cellIs" dxfId="87" priority="88" operator="equal">
      <formula>"No"</formula>
    </cfRule>
    <cfRule type="cellIs" dxfId="86" priority="89" operator="equal">
      <formula>"Yes"</formula>
    </cfRule>
  </conditionalFormatting>
  <conditionalFormatting sqref="F43">
    <cfRule type="cellIs" dxfId="85" priority="86" operator="equal">
      <formula>"Yes"</formula>
    </cfRule>
  </conditionalFormatting>
  <conditionalFormatting sqref="G43">
    <cfRule type="cellIs" dxfId="84" priority="85" operator="equal">
      <formula>"Yes"</formula>
    </cfRule>
  </conditionalFormatting>
  <conditionalFormatting sqref="G43">
    <cfRule type="cellIs" dxfId="83" priority="82" operator="equal">
      <formula>"Yes"</formula>
    </cfRule>
    <cfRule type="cellIs" dxfId="82" priority="83" operator="equal">
      <formula>"No"</formula>
    </cfRule>
    <cfRule type="cellIs" dxfId="81" priority="84" operator="equal">
      <formula>"Yes"</formula>
    </cfRule>
  </conditionalFormatting>
  <conditionalFormatting sqref="G43">
    <cfRule type="cellIs" dxfId="80" priority="81" operator="equal">
      <formula>"Yes"</formula>
    </cfRule>
  </conditionalFormatting>
  <conditionalFormatting sqref="M43">
    <cfRule type="cellIs" dxfId="79" priority="80" operator="equal">
      <formula>"Yes"</formula>
    </cfRule>
  </conditionalFormatting>
  <conditionalFormatting sqref="M43">
    <cfRule type="cellIs" dxfId="78" priority="77" operator="equal">
      <formula>"Yes"</formula>
    </cfRule>
    <cfRule type="cellIs" dxfId="77" priority="78" operator="equal">
      <formula>"No"</formula>
    </cfRule>
    <cfRule type="cellIs" dxfId="76" priority="79" operator="equal">
      <formula>"Yes"</formula>
    </cfRule>
  </conditionalFormatting>
  <conditionalFormatting sqref="M43">
    <cfRule type="cellIs" dxfId="75" priority="76" operator="equal">
      <formula>"Yes"</formula>
    </cfRule>
  </conditionalFormatting>
  <conditionalFormatting sqref="J43">
    <cfRule type="cellIs" dxfId="74" priority="1" operator="equal">
      <formula>"Yes"</formula>
    </cfRule>
  </conditionalFormatting>
  <conditionalFormatting sqref="I43">
    <cfRule type="cellIs" dxfId="73" priority="75" operator="equal">
      <formula>"Yes"</formula>
    </cfRule>
  </conditionalFormatting>
  <conditionalFormatting sqref="I43">
    <cfRule type="cellIs" dxfId="72" priority="72" operator="equal">
      <formula>"Yes"</formula>
    </cfRule>
    <cfRule type="cellIs" dxfId="71" priority="73" operator="equal">
      <formula>"No"</formula>
    </cfRule>
    <cfRule type="cellIs" dxfId="70" priority="74" operator="equal">
      <formula>"Yes"</formula>
    </cfRule>
  </conditionalFormatting>
  <conditionalFormatting sqref="I43">
    <cfRule type="cellIs" dxfId="69" priority="71" operator="equal">
      <formula>"Yes"</formula>
    </cfRule>
  </conditionalFormatting>
  <conditionalFormatting sqref="H43">
    <cfRule type="cellIs" dxfId="68" priority="70" operator="equal">
      <formula>"Yes"</formula>
    </cfRule>
  </conditionalFormatting>
  <conditionalFormatting sqref="H43">
    <cfRule type="cellIs" dxfId="67" priority="67" operator="equal">
      <formula>"Yes"</formula>
    </cfRule>
    <cfRule type="cellIs" dxfId="66" priority="68" operator="equal">
      <formula>"No"</formula>
    </cfRule>
    <cfRule type="cellIs" dxfId="65" priority="69" operator="equal">
      <formula>"Yes"</formula>
    </cfRule>
  </conditionalFormatting>
  <conditionalFormatting sqref="H43">
    <cfRule type="cellIs" dxfId="64" priority="66" operator="equal">
      <formula>"Yes"</formula>
    </cfRule>
  </conditionalFormatting>
  <conditionalFormatting sqref="K43">
    <cfRule type="cellIs" dxfId="63" priority="65" operator="equal">
      <formula>"Yes"</formula>
    </cfRule>
  </conditionalFormatting>
  <conditionalFormatting sqref="K43">
    <cfRule type="cellIs" dxfId="62" priority="62" operator="equal">
      <formula>"Yes"</formula>
    </cfRule>
    <cfRule type="cellIs" dxfId="61" priority="63" operator="equal">
      <formula>"No"</formula>
    </cfRule>
    <cfRule type="cellIs" dxfId="60" priority="64" operator="equal">
      <formula>"Yes"</formula>
    </cfRule>
  </conditionalFormatting>
  <conditionalFormatting sqref="K43">
    <cfRule type="cellIs" dxfId="59" priority="61" operator="equal">
      <formula>"Yes"</formula>
    </cfRule>
  </conditionalFormatting>
  <conditionalFormatting sqref="N43">
    <cfRule type="cellIs" dxfId="58" priority="60" operator="equal">
      <formula>"Yes"</formula>
    </cfRule>
  </conditionalFormatting>
  <conditionalFormatting sqref="N43">
    <cfRule type="cellIs" dxfId="57" priority="57" operator="equal">
      <formula>"Yes"</formula>
    </cfRule>
    <cfRule type="cellIs" dxfId="56" priority="58" operator="equal">
      <formula>"No"</formula>
    </cfRule>
    <cfRule type="cellIs" dxfId="55" priority="59" operator="equal">
      <formula>"Yes"</formula>
    </cfRule>
  </conditionalFormatting>
  <conditionalFormatting sqref="N43">
    <cfRule type="cellIs" dxfId="54" priority="56" operator="equal">
      <formula>"Yes"</formula>
    </cfRule>
  </conditionalFormatting>
  <conditionalFormatting sqref="V43">
    <cfRule type="cellIs" dxfId="53" priority="55" operator="equal">
      <formula>"Yes"</formula>
    </cfRule>
  </conditionalFormatting>
  <conditionalFormatting sqref="V43">
    <cfRule type="cellIs" dxfId="52" priority="52" operator="equal">
      <formula>"Yes"</formula>
    </cfRule>
    <cfRule type="cellIs" dxfId="51" priority="53" operator="equal">
      <formula>"No"</formula>
    </cfRule>
    <cfRule type="cellIs" dxfId="50" priority="54" operator="equal">
      <formula>"Yes"</formula>
    </cfRule>
  </conditionalFormatting>
  <conditionalFormatting sqref="V43">
    <cfRule type="cellIs" dxfId="49" priority="51" operator="equal">
      <formula>"Yes"</formula>
    </cfRule>
  </conditionalFormatting>
  <conditionalFormatting sqref="W43">
    <cfRule type="cellIs" dxfId="48" priority="50" operator="equal">
      <formula>"Yes"</formula>
    </cfRule>
  </conditionalFormatting>
  <conditionalFormatting sqref="W43">
    <cfRule type="cellIs" dxfId="47" priority="47" operator="equal">
      <formula>"Yes"</formula>
    </cfRule>
    <cfRule type="cellIs" dxfId="46" priority="48" operator="equal">
      <formula>"No"</formula>
    </cfRule>
    <cfRule type="cellIs" dxfId="45" priority="49" operator="equal">
      <formula>"Yes"</formula>
    </cfRule>
  </conditionalFormatting>
  <conditionalFormatting sqref="W43">
    <cfRule type="cellIs" dxfId="44" priority="46" operator="equal">
      <formula>"Yes"</formula>
    </cfRule>
  </conditionalFormatting>
  <conditionalFormatting sqref="U43">
    <cfRule type="cellIs" dxfId="43" priority="45" operator="equal">
      <formula>"Yes"</formula>
    </cfRule>
  </conditionalFormatting>
  <conditionalFormatting sqref="U43">
    <cfRule type="cellIs" dxfId="42" priority="42" operator="equal">
      <formula>"Yes"</formula>
    </cfRule>
    <cfRule type="cellIs" dxfId="41" priority="43" operator="equal">
      <formula>"No"</formula>
    </cfRule>
    <cfRule type="cellIs" dxfId="40" priority="44" operator="equal">
      <formula>"Yes"</formula>
    </cfRule>
  </conditionalFormatting>
  <conditionalFormatting sqref="U43">
    <cfRule type="cellIs" dxfId="39" priority="41" operator="equal">
      <formula>"Yes"</formula>
    </cfRule>
  </conditionalFormatting>
  <conditionalFormatting sqref="T43">
    <cfRule type="cellIs" dxfId="38" priority="40" operator="equal">
      <formula>"Yes"</formula>
    </cfRule>
  </conditionalFormatting>
  <conditionalFormatting sqref="T43">
    <cfRule type="cellIs" dxfId="37" priority="37" operator="equal">
      <formula>"Yes"</formula>
    </cfRule>
    <cfRule type="cellIs" dxfId="36" priority="38" operator="equal">
      <formula>"No"</formula>
    </cfRule>
    <cfRule type="cellIs" dxfId="35" priority="39" operator="equal">
      <formula>"Yes"</formula>
    </cfRule>
  </conditionalFormatting>
  <conditionalFormatting sqref="T43">
    <cfRule type="cellIs" dxfId="34" priority="36" operator="equal">
      <formula>"Yes"</formula>
    </cfRule>
  </conditionalFormatting>
  <conditionalFormatting sqref="S43">
    <cfRule type="cellIs" dxfId="33" priority="35" operator="equal">
      <formula>"Yes"</formula>
    </cfRule>
  </conditionalFormatting>
  <conditionalFormatting sqref="S43">
    <cfRule type="cellIs" dxfId="32" priority="32" operator="equal">
      <formula>"Yes"</formula>
    </cfRule>
    <cfRule type="cellIs" dxfId="31" priority="33" operator="equal">
      <formula>"No"</formula>
    </cfRule>
    <cfRule type="cellIs" dxfId="30" priority="34" operator="equal">
      <formula>"Yes"</formula>
    </cfRule>
  </conditionalFormatting>
  <conditionalFormatting sqref="S43">
    <cfRule type="cellIs" dxfId="29" priority="31" operator="equal">
      <formula>"Yes"</formula>
    </cfRule>
  </conditionalFormatting>
  <conditionalFormatting sqref="R43">
    <cfRule type="cellIs" dxfId="28" priority="30" operator="equal">
      <formula>"Yes"</formula>
    </cfRule>
  </conditionalFormatting>
  <conditionalFormatting sqref="R43">
    <cfRule type="cellIs" dxfId="27" priority="27" operator="equal">
      <formula>"Yes"</formula>
    </cfRule>
    <cfRule type="cellIs" dxfId="26" priority="28" operator="equal">
      <formula>"No"</formula>
    </cfRule>
    <cfRule type="cellIs" dxfId="25" priority="29" operator="equal">
      <formula>"Yes"</formula>
    </cfRule>
  </conditionalFormatting>
  <conditionalFormatting sqref="R43">
    <cfRule type="cellIs" dxfId="24" priority="26" operator="equal">
      <formula>"Yes"</formula>
    </cfRule>
  </conditionalFormatting>
  <conditionalFormatting sqref="L43">
    <cfRule type="cellIs" dxfId="23" priority="25" operator="equal">
      <formula>"Yes"</formula>
    </cfRule>
  </conditionalFormatting>
  <conditionalFormatting sqref="L43">
    <cfRule type="cellIs" dxfId="22" priority="22" operator="equal">
      <formula>"Yes"</formula>
    </cfRule>
    <cfRule type="cellIs" dxfId="21" priority="23" operator="equal">
      <formula>"No"</formula>
    </cfRule>
    <cfRule type="cellIs" dxfId="20" priority="24" operator="equal">
      <formula>"Yes"</formula>
    </cfRule>
  </conditionalFormatting>
  <conditionalFormatting sqref="L43">
    <cfRule type="cellIs" dxfId="19" priority="21" operator="equal">
      <formula>"Yes"</formula>
    </cfRule>
  </conditionalFormatting>
  <conditionalFormatting sqref="O43">
    <cfRule type="cellIs" dxfId="18" priority="20" operator="equal">
      <formula>"Yes"</formula>
    </cfRule>
  </conditionalFormatting>
  <conditionalFormatting sqref="O43">
    <cfRule type="cellIs" dxfId="17" priority="17" operator="equal">
      <formula>"Yes"</formula>
    </cfRule>
    <cfRule type="cellIs" dxfId="16" priority="18" operator="equal">
      <formula>"No"</formula>
    </cfRule>
    <cfRule type="cellIs" dxfId="15" priority="19" operator="equal">
      <formula>"Yes"</formula>
    </cfRule>
  </conditionalFormatting>
  <conditionalFormatting sqref="O43">
    <cfRule type="cellIs" dxfId="14" priority="16" operator="equal">
      <formula>"Yes"</formula>
    </cfRule>
  </conditionalFormatting>
  <conditionalFormatting sqref="Q43">
    <cfRule type="cellIs" dxfId="13" priority="15" operator="equal">
      <formula>"Yes"</formula>
    </cfRule>
  </conditionalFormatting>
  <conditionalFormatting sqref="Q43">
    <cfRule type="cellIs" dxfId="12" priority="12" operator="equal">
      <formula>"Yes"</formula>
    </cfRule>
    <cfRule type="cellIs" dxfId="11" priority="13" operator="equal">
      <formula>"No"</formula>
    </cfRule>
    <cfRule type="cellIs" dxfId="10" priority="14" operator="equal">
      <formula>"Yes"</formula>
    </cfRule>
  </conditionalFormatting>
  <conditionalFormatting sqref="Q43">
    <cfRule type="cellIs" dxfId="9" priority="11" operator="equal">
      <formula>"Yes"</formula>
    </cfRule>
  </conditionalFormatting>
  <conditionalFormatting sqref="P43">
    <cfRule type="cellIs" dxfId="8" priority="10" operator="equal">
      <formula>"Yes"</formula>
    </cfRule>
  </conditionalFormatting>
  <conditionalFormatting sqref="P43">
    <cfRule type="cellIs" dxfId="7" priority="7" operator="equal">
      <formula>"Yes"</formula>
    </cfRule>
    <cfRule type="cellIs" dxfId="6" priority="8" operator="equal">
      <formula>"No"</formula>
    </cfRule>
    <cfRule type="cellIs" dxfId="5" priority="9" operator="equal">
      <formula>"Yes"</formula>
    </cfRule>
  </conditionalFormatting>
  <conditionalFormatting sqref="P43">
    <cfRule type="cellIs" dxfId="4" priority="6" operator="equal">
      <formula>"Yes"</formula>
    </cfRule>
  </conditionalFormatting>
  <conditionalFormatting sqref="J43">
    <cfRule type="cellIs" dxfId="3" priority="5" operator="equal">
      <formula>"Yes"</formula>
    </cfRule>
  </conditionalFormatting>
  <conditionalFormatting sqref="J43">
    <cfRule type="cellIs" dxfId="2" priority="2" operator="equal">
      <formula>"Yes"</formula>
    </cfRule>
    <cfRule type="cellIs" dxfId="1" priority="3" operator="equal">
      <formula>"No"</formula>
    </cfRule>
    <cfRule type="cellIs" dxfId="0" priority="4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Quadrant</vt:lpstr>
      <vt:lpstr>Details</vt:lpstr>
    </vt:vector>
  </TitlesOfParts>
  <Company>The Franklin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Arkins</dc:creator>
  <cp:lastModifiedBy>Patrick Arkins</cp:lastModifiedBy>
  <dcterms:created xsi:type="dcterms:W3CDTF">2018-03-22T19:59:19Z</dcterms:created>
  <dcterms:modified xsi:type="dcterms:W3CDTF">2018-04-24T19:15:17Z</dcterms:modified>
</cp:coreProperties>
</file>